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velazquez\Downloads\"/>
    </mc:Choice>
  </mc:AlternateContent>
  <xr:revisionPtr revIDLastSave="0" documentId="13_ncr:1_{3103FFD5-C561-4BB1-9583-555E57BADA05}" xr6:coauthVersionLast="47" xr6:coauthVersionMax="47" xr10:uidLastSave="{00000000-0000-0000-0000-000000000000}"/>
  <bookViews>
    <workbookView xWindow="-110" yWindow="-110" windowWidth="19420" windowHeight="10300" tabRatio="789" xr2:uid="{00000000-000D-0000-FFFF-FFFF00000000}"/>
  </bookViews>
  <sheets>
    <sheet name="Datos_Entidad" sheetId="7" r:id="rId1"/>
    <sheet name="CAT. GENERAL" sheetId="1" r:id="rId2"/>
    <sheet name="JOVEN" sheetId="20" r:id="rId3"/>
    <sheet name="INFANTIL" sheetId="19" r:id="rId4"/>
    <sheet name="GLOBAL" sheetId="21" r:id="rId5"/>
    <sheet name="Hoja1" sheetId="15" r:id="rId6"/>
  </sheets>
  <definedNames>
    <definedName name="DatosExternos_1" localSheetId="4" hidden="1">GLOBAL!#REF!</definedName>
    <definedName name="DatosExternos_2" localSheetId="4" hidden="1">GLOBAL!$A$1:$D$2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0" l="1"/>
  <c r="G5" i="20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4" i="19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3" i="19"/>
  <c r="G3" i="20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" i="1"/>
  <c r="R29" i="20" l="1"/>
  <c r="T29" i="20" s="1"/>
  <c r="O29" i="20"/>
  <c r="P29" i="20" s="1"/>
  <c r="U28" i="20"/>
  <c r="T28" i="20"/>
  <c r="V28" i="20" s="1"/>
  <c r="R28" i="20"/>
  <c r="O28" i="20"/>
  <c r="P28" i="20" s="1"/>
  <c r="K28" i="20"/>
  <c r="K28" i="20" a="1"/>
  <c r="U27" i="20"/>
  <c r="R27" i="20"/>
  <c r="T27" i="20" s="1"/>
  <c r="O27" i="20"/>
  <c r="P27" i="20" s="1"/>
  <c r="K27" i="20" a="1"/>
  <c r="K27" i="20" s="1"/>
  <c r="U26" i="20"/>
  <c r="R26" i="20"/>
  <c r="T26" i="20" s="1"/>
  <c r="O26" i="20"/>
  <c r="P26" i="20" s="1"/>
  <c r="K26" i="20" a="1"/>
  <c r="K26" i="20" s="1"/>
  <c r="U25" i="20"/>
  <c r="R25" i="20"/>
  <c r="T25" i="20" s="1"/>
  <c r="O25" i="20"/>
  <c r="P25" i="20" s="1"/>
  <c r="K25" i="20" a="1"/>
  <c r="K25" i="20" s="1"/>
  <c r="U24" i="20"/>
  <c r="R24" i="20"/>
  <c r="T24" i="20" s="1"/>
  <c r="V24" i="20" s="1"/>
  <c r="O24" i="20"/>
  <c r="P24" i="20" s="1"/>
  <c r="K24" i="20" a="1"/>
  <c r="K24" i="20" s="1"/>
  <c r="U23" i="20"/>
  <c r="R23" i="20"/>
  <c r="T23" i="20" s="1"/>
  <c r="O23" i="20"/>
  <c r="P23" i="20" s="1"/>
  <c r="K23" i="20" a="1"/>
  <c r="K23" i="20" s="1"/>
  <c r="U22" i="20"/>
  <c r="T22" i="20"/>
  <c r="W22" i="20" s="1"/>
  <c r="R22" i="20"/>
  <c r="O22" i="20"/>
  <c r="P22" i="20" s="1"/>
  <c r="K22" i="20" a="1"/>
  <c r="K22" i="20" s="1"/>
  <c r="U21" i="20"/>
  <c r="R21" i="20"/>
  <c r="T21" i="20" s="1"/>
  <c r="W21" i="20" s="1"/>
  <c r="P21" i="20"/>
  <c r="O21" i="20"/>
  <c r="K21" i="20" a="1"/>
  <c r="K21" i="20" s="1"/>
  <c r="U20" i="20"/>
  <c r="R20" i="20"/>
  <c r="T20" i="20" s="1"/>
  <c r="O20" i="20"/>
  <c r="P20" i="20" s="1"/>
  <c r="K20" i="20" a="1"/>
  <c r="K20" i="20" s="1"/>
  <c r="U19" i="20"/>
  <c r="R19" i="20"/>
  <c r="T19" i="20" s="1"/>
  <c r="O19" i="20"/>
  <c r="P19" i="20" s="1"/>
  <c r="K19" i="20" a="1"/>
  <c r="K19" i="20" s="1"/>
  <c r="U18" i="20"/>
  <c r="T18" i="20"/>
  <c r="W18" i="20" s="1"/>
  <c r="R18" i="20"/>
  <c r="O18" i="20"/>
  <c r="P18" i="20" s="1"/>
  <c r="K18" i="20" a="1"/>
  <c r="K18" i="20" s="1"/>
  <c r="W17" i="20"/>
  <c r="U17" i="20"/>
  <c r="T17" i="20"/>
  <c r="R17" i="20"/>
  <c r="P17" i="20"/>
  <c r="O17" i="20"/>
  <c r="K17" i="20" a="1"/>
  <c r="K17" i="20" s="1"/>
  <c r="U16" i="20"/>
  <c r="R16" i="20"/>
  <c r="T16" i="20" s="1"/>
  <c r="O16" i="20"/>
  <c r="P16" i="20" s="1"/>
  <c r="K16" i="20" a="1"/>
  <c r="K16" i="20" s="1"/>
  <c r="U15" i="20"/>
  <c r="R15" i="20"/>
  <c r="T15" i="20" s="1"/>
  <c r="O15" i="20"/>
  <c r="P15" i="20" s="1"/>
  <c r="K15" i="20" a="1"/>
  <c r="K15" i="20" s="1"/>
  <c r="U14" i="20"/>
  <c r="T14" i="20"/>
  <c r="W14" i="20" s="1"/>
  <c r="R14" i="20"/>
  <c r="O14" i="20"/>
  <c r="P14" i="20" s="1"/>
  <c r="K14" i="20" a="1"/>
  <c r="K14" i="20" s="1"/>
  <c r="W13" i="20"/>
  <c r="U13" i="20"/>
  <c r="T13" i="20"/>
  <c r="R13" i="20"/>
  <c r="P13" i="20"/>
  <c r="O13" i="20"/>
  <c r="K13" i="20" a="1"/>
  <c r="K13" i="20" s="1"/>
  <c r="U12" i="20"/>
  <c r="R12" i="20"/>
  <c r="T12" i="20" s="1"/>
  <c r="O12" i="20"/>
  <c r="P12" i="20" s="1"/>
  <c r="K12" i="20" a="1"/>
  <c r="K12" i="20" s="1"/>
  <c r="U11" i="20"/>
  <c r="R11" i="20"/>
  <c r="T11" i="20" s="1"/>
  <c r="O11" i="20"/>
  <c r="P11" i="20" s="1"/>
  <c r="K11" i="20" a="1"/>
  <c r="K11" i="20" s="1"/>
  <c r="U10" i="20"/>
  <c r="T10" i="20"/>
  <c r="W10" i="20" s="1"/>
  <c r="R10" i="20"/>
  <c r="O10" i="20"/>
  <c r="P10" i="20" s="1"/>
  <c r="K10" i="20" a="1"/>
  <c r="K10" i="20" s="1"/>
  <c r="U9" i="20"/>
  <c r="T9" i="20"/>
  <c r="W9" i="20" s="1"/>
  <c r="R9" i="20"/>
  <c r="P9" i="20"/>
  <c r="O9" i="20"/>
  <c r="K9" i="20" a="1"/>
  <c r="K9" i="20" s="1"/>
  <c r="U8" i="20"/>
  <c r="R8" i="20"/>
  <c r="T8" i="20" s="1"/>
  <c r="O8" i="20"/>
  <c r="P8" i="20" s="1"/>
  <c r="K8" i="20" a="1"/>
  <c r="K8" i="20" s="1"/>
  <c r="U7" i="20"/>
  <c r="R7" i="20"/>
  <c r="T7" i="20" s="1"/>
  <c r="O7" i="20"/>
  <c r="P7" i="20" s="1"/>
  <c r="K7" i="20" a="1"/>
  <c r="K7" i="20" s="1"/>
  <c r="U6" i="20"/>
  <c r="O6" i="20"/>
  <c r="P6" i="20" s="1"/>
  <c r="R6" i="20" s="1"/>
  <c r="T6" i="20" s="1"/>
  <c r="K6" i="20" a="1"/>
  <c r="K6" i="20" s="1"/>
  <c r="U5" i="20"/>
  <c r="R5" i="20"/>
  <c r="T5" i="20" s="1"/>
  <c r="W5" i="20" s="1"/>
  <c r="O5" i="20"/>
  <c r="P5" i="20" s="1"/>
  <c r="K5" i="20" a="1"/>
  <c r="K5" i="20" s="1"/>
  <c r="U4" i="20"/>
  <c r="R4" i="20"/>
  <c r="T4" i="20" s="1"/>
  <c r="O4" i="20"/>
  <c r="P4" i="20" s="1"/>
  <c r="K4" i="20" a="1"/>
  <c r="K4" i="20" s="1"/>
  <c r="U3" i="20"/>
  <c r="R3" i="20"/>
  <c r="T3" i="20" s="1"/>
  <c r="O3" i="20"/>
  <c r="P3" i="20" s="1"/>
  <c r="K3" i="20" a="1"/>
  <c r="K3" i="20" s="1"/>
  <c r="P17" i="1"/>
  <c r="P24" i="1"/>
  <c r="P29" i="1"/>
  <c r="O3" i="1"/>
  <c r="P3" i="1" s="1"/>
  <c r="O4" i="1"/>
  <c r="P4" i="1" s="1"/>
  <c r="O5" i="1"/>
  <c r="P5" i="1" s="1"/>
  <c r="O6" i="1"/>
  <c r="P6" i="1" s="1"/>
  <c r="R6" i="1" s="1"/>
  <c r="T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O25" i="1"/>
  <c r="P25" i="1" s="1"/>
  <c r="O26" i="1"/>
  <c r="P26" i="1" s="1"/>
  <c r="O27" i="1"/>
  <c r="P27" i="1" s="1"/>
  <c r="O28" i="1"/>
  <c r="P28" i="1" s="1"/>
  <c r="O29" i="1"/>
  <c r="O3" i="19"/>
  <c r="P3" i="19" s="1"/>
  <c r="R3" i="19" s="1"/>
  <c r="T3" i="19" s="1"/>
  <c r="O4" i="19"/>
  <c r="P4" i="19" s="1"/>
  <c r="O5" i="19"/>
  <c r="P5" i="19" s="1"/>
  <c r="O6" i="19"/>
  <c r="P6" i="19" s="1"/>
  <c r="R6" i="19" s="1"/>
  <c r="T6" i="19" s="1"/>
  <c r="O7" i="19"/>
  <c r="P7" i="19" s="1"/>
  <c r="O8" i="19"/>
  <c r="P8" i="19" s="1"/>
  <c r="O9" i="19"/>
  <c r="P9" i="19" s="1"/>
  <c r="O10" i="19"/>
  <c r="P10" i="19" s="1"/>
  <c r="O11" i="19"/>
  <c r="P11" i="19" s="1"/>
  <c r="O12" i="19"/>
  <c r="P12" i="19" s="1"/>
  <c r="O13" i="19"/>
  <c r="P13" i="19" s="1"/>
  <c r="O14" i="19"/>
  <c r="P14" i="19" s="1"/>
  <c r="O15" i="19"/>
  <c r="P15" i="19" s="1"/>
  <c r="O16" i="19"/>
  <c r="P16" i="19" s="1"/>
  <c r="O17" i="19"/>
  <c r="P17" i="19" s="1"/>
  <c r="O18" i="19"/>
  <c r="P18" i="19" s="1"/>
  <c r="O19" i="19"/>
  <c r="P19" i="19" s="1"/>
  <c r="O20" i="19"/>
  <c r="P20" i="19" s="1"/>
  <c r="O21" i="19"/>
  <c r="P21" i="19" s="1"/>
  <c r="O22" i="19"/>
  <c r="P22" i="19" s="1"/>
  <c r="O23" i="19"/>
  <c r="P23" i="19" s="1"/>
  <c r="O24" i="19"/>
  <c r="P24" i="19" s="1"/>
  <c r="O25" i="19"/>
  <c r="P25" i="19" s="1"/>
  <c r="O26" i="19"/>
  <c r="P26" i="19" s="1"/>
  <c r="O27" i="19"/>
  <c r="P27" i="19" s="1"/>
  <c r="O28" i="19"/>
  <c r="P28" i="19" s="1"/>
  <c r="O29" i="19"/>
  <c r="P29" i="19" s="1"/>
  <c r="R29" i="19"/>
  <c r="T29" i="19" s="1"/>
  <c r="U28" i="19"/>
  <c r="R28" i="19"/>
  <c r="T28" i="19" s="1"/>
  <c r="K28" i="19" a="1"/>
  <c r="K28" i="19" s="1"/>
  <c r="U27" i="19"/>
  <c r="R27" i="19"/>
  <c r="T27" i="19" s="1"/>
  <c r="W27" i="19" s="1"/>
  <c r="K27" i="19" a="1"/>
  <c r="K27" i="19" s="1"/>
  <c r="U26" i="19"/>
  <c r="R26" i="19"/>
  <c r="T26" i="19" s="1"/>
  <c r="W26" i="19" s="1"/>
  <c r="K26" i="19" a="1"/>
  <c r="K26" i="19" s="1"/>
  <c r="U25" i="19"/>
  <c r="R25" i="19"/>
  <c r="T25" i="19" s="1"/>
  <c r="V25" i="19" s="1"/>
  <c r="K25" i="19" a="1"/>
  <c r="K25" i="19" s="1"/>
  <c r="U24" i="19"/>
  <c r="R24" i="19"/>
  <c r="T24" i="19" s="1"/>
  <c r="V24" i="19" s="1"/>
  <c r="K24" i="19" a="1"/>
  <c r="K24" i="19" s="1"/>
  <c r="U23" i="19"/>
  <c r="R23" i="19"/>
  <c r="T23" i="19" s="1"/>
  <c r="K23" i="19" a="1"/>
  <c r="K23" i="19" s="1"/>
  <c r="U22" i="19"/>
  <c r="R22" i="19"/>
  <c r="T22" i="19" s="1"/>
  <c r="K22" i="19" a="1"/>
  <c r="K22" i="19" s="1"/>
  <c r="U21" i="19"/>
  <c r="R21" i="19"/>
  <c r="T21" i="19" s="1"/>
  <c r="K21" i="19" a="1"/>
  <c r="K21" i="19" s="1"/>
  <c r="U20" i="19"/>
  <c r="R20" i="19"/>
  <c r="T20" i="19" s="1"/>
  <c r="K20" i="19" a="1"/>
  <c r="K20" i="19" s="1"/>
  <c r="U19" i="19"/>
  <c r="R19" i="19"/>
  <c r="T19" i="19" s="1"/>
  <c r="K19" i="19" a="1"/>
  <c r="K19" i="19" s="1"/>
  <c r="U18" i="19"/>
  <c r="R18" i="19"/>
  <c r="T18" i="19" s="1"/>
  <c r="K18" i="19" a="1"/>
  <c r="K18" i="19" s="1"/>
  <c r="U17" i="19"/>
  <c r="R17" i="19"/>
  <c r="T17" i="19" s="1"/>
  <c r="K17" i="19"/>
  <c r="K17" i="19" a="1"/>
  <c r="U16" i="19"/>
  <c r="R16" i="19"/>
  <c r="T16" i="19" s="1"/>
  <c r="K16" i="19" a="1"/>
  <c r="K16" i="19" s="1"/>
  <c r="U15" i="19"/>
  <c r="R15" i="19"/>
  <c r="T15" i="19" s="1"/>
  <c r="W15" i="19" s="1"/>
  <c r="K15" i="19" a="1"/>
  <c r="K15" i="19" s="1"/>
  <c r="U14" i="19"/>
  <c r="R14" i="19"/>
  <c r="T14" i="19" s="1"/>
  <c r="W14" i="19" s="1"/>
  <c r="K14" i="19" a="1"/>
  <c r="K14" i="19" s="1"/>
  <c r="U13" i="19"/>
  <c r="R13" i="19"/>
  <c r="T13" i="19" s="1"/>
  <c r="K13" i="19" a="1"/>
  <c r="K13" i="19" s="1"/>
  <c r="U12" i="19"/>
  <c r="R12" i="19"/>
  <c r="T12" i="19" s="1"/>
  <c r="K12" i="19" a="1"/>
  <c r="K12" i="19" s="1"/>
  <c r="U11" i="19"/>
  <c r="R11" i="19"/>
  <c r="T11" i="19" s="1"/>
  <c r="K11" i="19" a="1"/>
  <c r="K11" i="19" s="1"/>
  <c r="U10" i="19"/>
  <c r="R10" i="19"/>
  <c r="T10" i="19" s="1"/>
  <c r="K10" i="19" a="1"/>
  <c r="K10" i="19" s="1"/>
  <c r="U9" i="19"/>
  <c r="R9" i="19"/>
  <c r="T9" i="19" s="1"/>
  <c r="K9" i="19" a="1"/>
  <c r="K9" i="19" s="1"/>
  <c r="U8" i="19"/>
  <c r="R8" i="19"/>
  <c r="T8" i="19" s="1"/>
  <c r="K8" i="19" a="1"/>
  <c r="K8" i="19" s="1"/>
  <c r="U7" i="19"/>
  <c r="R7" i="19"/>
  <c r="T7" i="19" s="1"/>
  <c r="K7" i="19" a="1"/>
  <c r="K7" i="19" s="1"/>
  <c r="U6" i="19"/>
  <c r="K6" i="19" a="1"/>
  <c r="K6" i="19" s="1"/>
  <c r="U5" i="19"/>
  <c r="R5" i="19"/>
  <c r="T5" i="19" s="1"/>
  <c r="K5" i="19" a="1"/>
  <c r="K5" i="19" s="1"/>
  <c r="U4" i="19"/>
  <c r="R4" i="19"/>
  <c r="T4" i="19" s="1"/>
  <c r="K4" i="19" a="1"/>
  <c r="K4" i="19" s="1"/>
  <c r="U3" i="19"/>
  <c r="K3" i="19" a="1"/>
  <c r="K3" i="19" s="1"/>
  <c r="T16" i="1"/>
  <c r="W16" i="1" s="1"/>
  <c r="R3" i="1"/>
  <c r="T3" i="1" s="1"/>
  <c r="R4" i="1"/>
  <c r="T4" i="1" s="1"/>
  <c r="W4" i="1" s="1"/>
  <c r="R5" i="1"/>
  <c r="T5" i="1" s="1"/>
  <c r="R7" i="1"/>
  <c r="T7" i="1" s="1"/>
  <c r="R8" i="1"/>
  <c r="T8" i="1" s="1"/>
  <c r="R9" i="1"/>
  <c r="T9" i="1" s="1"/>
  <c r="R10" i="1"/>
  <c r="T10" i="1" s="1"/>
  <c r="R11" i="1"/>
  <c r="T11" i="1" s="1"/>
  <c r="R12" i="1"/>
  <c r="T12" i="1" s="1"/>
  <c r="R13" i="1"/>
  <c r="T13" i="1" s="1"/>
  <c r="R14" i="1"/>
  <c r="T14" i="1" s="1"/>
  <c r="R15" i="1"/>
  <c r="T15" i="1" s="1"/>
  <c r="R16" i="1"/>
  <c r="R17" i="1"/>
  <c r="T17" i="1" s="1"/>
  <c r="W17" i="1" s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R26" i="1"/>
  <c r="T26" i="1" s="1"/>
  <c r="R27" i="1"/>
  <c r="T27" i="1" s="1"/>
  <c r="V27" i="1" s="1"/>
  <c r="R28" i="1"/>
  <c r="T28" i="1" s="1"/>
  <c r="R29" i="1"/>
  <c r="T29" i="1" s="1"/>
  <c r="K4" i="1" a="1"/>
  <c r="K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19" i="1" a="1"/>
  <c r="K19" i="1" s="1"/>
  <c r="K20" i="1" a="1"/>
  <c r="K20" i="1" s="1"/>
  <c r="K21" i="1" a="1"/>
  <c r="K21" i="1" s="1"/>
  <c r="K22" i="1" a="1"/>
  <c r="K22" i="1" s="1"/>
  <c r="K23" i="1" a="1"/>
  <c r="K23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3" i="1" a="1"/>
  <c r="K3" i="1" s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W26" i="20" l="1"/>
  <c r="V26" i="20"/>
  <c r="V9" i="20"/>
  <c r="V5" i="20"/>
  <c r="V14" i="20"/>
  <c r="V18" i="20"/>
  <c r="V22" i="20"/>
  <c r="V10" i="20"/>
  <c r="V13" i="20"/>
  <c r="V17" i="20"/>
  <c r="V21" i="20"/>
  <c r="V15" i="1"/>
  <c r="W27" i="20"/>
  <c r="V27" i="20"/>
  <c r="W6" i="20"/>
  <c r="V6" i="20"/>
  <c r="W4" i="20"/>
  <c r="V4" i="20"/>
  <c r="W25" i="20"/>
  <c r="V25" i="20"/>
  <c r="W15" i="20"/>
  <c r="V15" i="20"/>
  <c r="W11" i="20"/>
  <c r="V11" i="20"/>
  <c r="V20" i="20"/>
  <c r="W20" i="20"/>
  <c r="V16" i="20"/>
  <c r="W16" i="20"/>
  <c r="W8" i="20"/>
  <c r="V8" i="20"/>
  <c r="W23" i="20"/>
  <c r="V23" i="20"/>
  <c r="W3" i="20"/>
  <c r="V3" i="20"/>
  <c r="W19" i="20"/>
  <c r="V19" i="20"/>
  <c r="W7" i="20"/>
  <c r="V7" i="20"/>
  <c r="W12" i="20"/>
  <c r="V12" i="20"/>
  <c r="W24" i="20"/>
  <c r="W28" i="20"/>
  <c r="V3" i="19"/>
  <c r="V12" i="19"/>
  <c r="V13" i="19"/>
  <c r="W28" i="1"/>
  <c r="V28" i="1"/>
  <c r="V16" i="1"/>
  <c r="V14" i="1"/>
  <c r="W14" i="1"/>
  <c r="V13" i="1"/>
  <c r="W13" i="1"/>
  <c r="V5" i="1"/>
  <c r="W5" i="1"/>
  <c r="W11" i="1"/>
  <c r="V11" i="1"/>
  <c r="V26" i="1"/>
  <c r="W26" i="1"/>
  <c r="V22" i="1"/>
  <c r="W22" i="1"/>
  <c r="V24" i="1"/>
  <c r="W24" i="1"/>
  <c r="V12" i="1"/>
  <c r="W12" i="1"/>
  <c r="W23" i="1"/>
  <c r="V23" i="1"/>
  <c r="V10" i="1"/>
  <c r="W10" i="1"/>
  <c r="V21" i="1"/>
  <c r="W21" i="1"/>
  <c r="V20" i="1"/>
  <c r="W20" i="1"/>
  <c r="V8" i="1"/>
  <c r="W8" i="1"/>
  <c r="V18" i="1"/>
  <c r="W18" i="1"/>
  <c r="V25" i="1"/>
  <c r="W25" i="1"/>
  <c r="V9" i="1"/>
  <c r="W9" i="1"/>
  <c r="V19" i="1"/>
  <c r="W19" i="1"/>
  <c r="V7" i="1"/>
  <c r="W7" i="1"/>
  <c r="W27" i="1"/>
  <c r="W15" i="1"/>
  <c r="V4" i="1"/>
  <c r="V17" i="1"/>
  <c r="V15" i="19"/>
  <c r="V27" i="19"/>
  <c r="W25" i="19"/>
  <c r="W13" i="19"/>
  <c r="W3" i="19"/>
  <c r="W8" i="19"/>
  <c r="V8" i="19"/>
  <c r="W18" i="19"/>
  <c r="V18" i="19"/>
  <c r="W22" i="19"/>
  <c r="V22" i="19"/>
  <c r="W4" i="19"/>
  <c r="V4" i="19"/>
  <c r="W9" i="19"/>
  <c r="V9" i="19"/>
  <c r="W21" i="19"/>
  <c r="V21" i="19"/>
  <c r="W6" i="19"/>
  <c r="V6" i="19"/>
  <c r="V10" i="19"/>
  <c r="W10" i="19"/>
  <c r="W23" i="19"/>
  <c r="V23" i="19"/>
  <c r="W19" i="19"/>
  <c r="V19" i="19"/>
  <c r="W28" i="19"/>
  <c r="V28" i="19"/>
  <c r="W17" i="19"/>
  <c r="V17" i="19"/>
  <c r="W11" i="19"/>
  <c r="V11" i="19"/>
  <c r="W16" i="19"/>
  <c r="V16" i="19"/>
  <c r="W5" i="19"/>
  <c r="V5" i="19"/>
  <c r="W7" i="19"/>
  <c r="V7" i="19"/>
  <c r="W20" i="19"/>
  <c r="V20" i="19"/>
  <c r="W12" i="19"/>
  <c r="W24" i="19"/>
  <c r="V14" i="19"/>
  <c r="V26" i="19"/>
  <c r="V6" i="1"/>
  <c r="W6" i="1"/>
  <c r="W3" i="1"/>
  <c r="W29" i="20" l="1"/>
  <c r="V29" i="20"/>
  <c r="W29" i="1"/>
  <c r="V29" i="19"/>
  <c r="W29" i="19"/>
  <c r="U3" i="1"/>
  <c r="V3" i="1" s="1"/>
  <c r="V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4535A4-0A9E-4E37-BF1D-54AEB0AF6477}" keepAlive="1" name="Consulta - Consulta2" description="Conexión a la consulta 'Consulta2' en el libro." type="5" refreshedVersion="8" background="1" saveData="1">
    <dbPr connection="Provider=Microsoft.Mashup.OleDb.1;Data Source=$Workbook$;Location=Consulta2;Extended Properties=&quot;&quot;" command="SELECT * FROM [Consulta2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<sst xmlns="http://schemas.openxmlformats.org/spreadsheetml/2006/main" count="120" uniqueCount="50">
  <si>
    <t>Pérdida unitaria de ingresos</t>
  </si>
  <si>
    <t xml:space="preserve">Pérdida de ingresos global, a partir del número total de títulos y de la pérdida unitaria de ingresos </t>
  </si>
  <si>
    <t>No aplica</t>
  </si>
  <si>
    <t>DATOS DE LA ENTIDAD</t>
  </si>
  <si>
    <t>Conforme a lo dispuesto en el artículo 28.7 de la Ley 39/2015, de 1 de octubre, del Procedimiento Administrativo Común de las Administraciones Públicas, los interesados se responsabilizan de la veracidad de los documentos que presentan.</t>
  </si>
  <si>
    <t>Número Expediente</t>
  </si>
  <si>
    <t>Nombre entidad</t>
  </si>
  <si>
    <t>Porcentaje de descuento que se financia por parte del Ministerio de Transportes y Movilidad Sostenible</t>
  </si>
  <si>
    <t>Título</t>
  </si>
  <si>
    <t>Tipo de título</t>
  </si>
  <si>
    <t>Título propio o integrado</t>
  </si>
  <si>
    <t>Identificación unidad de demanda</t>
  </si>
  <si>
    <t>Unidades de demanda</t>
  </si>
  <si>
    <t>Pérdida de ingresos global estimada, en cada título bonificado, a financiar mediante las ayudas del RDL 17/2025</t>
  </si>
  <si>
    <t>Abono</t>
  </si>
  <si>
    <t>Tít. multiviaje</t>
  </si>
  <si>
    <t>T. monedero I</t>
  </si>
  <si>
    <t>T. monedero II</t>
  </si>
  <si>
    <t>Propio</t>
  </si>
  <si>
    <t>Integrado</t>
  </si>
  <si>
    <t>MÉTODO ANEXO I</t>
  </si>
  <si>
    <t>APLICACIÓN</t>
  </si>
  <si>
    <t>Sí</t>
  </si>
  <si>
    <t>No</t>
  </si>
  <si>
    <t>% medio utilización</t>
  </si>
  <si>
    <t>Aplicación método Anexo I</t>
  </si>
  <si>
    <t>Estimación demanda 2024</t>
  </si>
  <si>
    <t>Estimación demanda 2025</t>
  </si>
  <si>
    <t>Estimación demanda 2026</t>
  </si>
  <si>
    <t>Estimación demanda 2026 - Mét. Anexo I</t>
  </si>
  <si>
    <t>Estimación demanda 2026 - Mét. Propio</t>
  </si>
  <si>
    <t>Variación interanual 2024-2025</t>
  </si>
  <si>
    <t>ADAT2026-XXX</t>
  </si>
  <si>
    <t>- No modificar la estructura de columnas ni su orden en ninguna hoja del libro.</t>
  </si>
  <si>
    <t xml:space="preserve">   Si se requiere hacer comprobaciones o cálculos adicionales, utilice otro libro independiente.</t>
  </si>
  <si>
    <t>Estimación del importe de la ayuda a conceder</t>
  </si>
  <si>
    <t>- Las celdas con  con fondo azul no deben modificarse. Contienen fórmulas y cualquier cambio alteraría los cálculos dependientes.</t>
  </si>
  <si>
    <t>Porcentaje de descuento que se financia por parte de la entidad beneficiaria</t>
  </si>
  <si>
    <t>Porcentaje de descuento que se financia mediante subvención adicional obtenida por concesión de otras convocatorias o administraciones, en su caso.</t>
  </si>
  <si>
    <t>Pérdida de ingresos subvencionable</t>
  </si>
  <si>
    <t>Categoría</t>
  </si>
  <si>
    <r>
      <t>Precio habitual sin descuento</t>
    </r>
    <r>
      <rPr>
        <b/>
        <u val="singleAccounting"/>
        <sz val="11"/>
        <color theme="0"/>
        <rFont val="Calibri"/>
        <family val="2"/>
        <scheme val="minor"/>
      </rPr>
      <t xml:space="preserve"> IVA INCLUIDO</t>
    </r>
  </si>
  <si>
    <t>Precio unitario con descuento 2024 
IVA INCLUIDO</t>
  </si>
  <si>
    <t>Precio unitario con descuento 2025
IVA INCLUIDO</t>
  </si>
  <si>
    <t>Precio unitario con descuento 2026
IVA INCLUIDO</t>
  </si>
  <si>
    <t>Precio unitario con descuento 2024
IVA INCLUIDO</t>
  </si>
  <si>
    <t>Precio habitual sin descuento 
IVA INCLUIDO</t>
  </si>
  <si>
    <t>Para poder actualizar la pestaña con los títulos incluidos es necesario hacer click en "Datos":</t>
  </si>
  <si>
    <t>Posteriormente, clickar en la opción "Actualizar todo":</t>
  </si>
  <si>
    <t>AYUDAS AL TRANSPORTE PÚBLICO
Capítulo III del RDL 17/2025, de 23 de diciembre.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</si>
</sst>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Aptos Narrow"/>
      <family val="2"/>
      <charset val="1"/>
    </font>
    <font>
      <b/>
      <sz val="11"/>
      <color theme="0" tint="-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 val="singleAccounting"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49" fontId="4" fillId="2" borderId="0" xfId="0" applyNumberFormat="1" applyFont="1" applyFill="1" applyAlignment="1">
      <alignment horizontal="left" vertical="center" wrapText="1" indent="6"/>
    </xf>
    <xf numFmtId="49" fontId="5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vertical="center"/>
    </xf>
    <xf numFmtId="49" fontId="0" fillId="0" borderId="0" xfId="0" applyNumberFormat="1"/>
    <xf numFmtId="0" fontId="0" fillId="0" borderId="0" xfId="0" applyAlignment="1">
      <alignment vertical="top"/>
    </xf>
    <xf numFmtId="0" fontId="0" fillId="4" borderId="2" xfId="0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7" fillId="4" borderId="8" xfId="0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164" fontId="2" fillId="6" borderId="1" xfId="2" applyNumberFormat="1" applyFont="1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2" fillId="5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2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  <protection locked="0"/>
    </xf>
    <xf numFmtId="44" fontId="0" fillId="0" borderId="1" xfId="2" applyFont="1" applyBorder="1" applyAlignment="1" applyProtection="1">
      <alignment horizontal="center"/>
    </xf>
    <xf numFmtId="0" fontId="2" fillId="0" borderId="0" xfId="0" applyFont="1" applyAlignment="1">
      <alignment horizontal="center" vertical="center" wrapText="1"/>
    </xf>
    <xf numFmtId="9" fontId="0" fillId="0" borderId="1" xfId="1" applyFont="1" applyFill="1" applyBorder="1" applyAlignment="1">
      <alignment horizontal="center"/>
    </xf>
    <xf numFmtId="10" fontId="0" fillId="0" borderId="1" xfId="1" applyNumberFormat="1" applyFont="1" applyFill="1" applyBorder="1" applyAlignment="1">
      <alignment horizontal="center"/>
    </xf>
    <xf numFmtId="0" fontId="0" fillId="0" borderId="0" xfId="0" quotePrefix="1" applyProtection="1">
      <protection locked="0"/>
    </xf>
    <xf numFmtId="49" fontId="0" fillId="0" borderId="0" xfId="0" applyNumberFormat="1" applyAlignment="1">
      <alignment vertical="top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44" fontId="9" fillId="2" borderId="3" xfId="2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1" xfId="0" applyFill="1" applyBorder="1" applyAlignment="1" applyProtection="1">
      <alignment horizontal="center"/>
      <protection locked="0"/>
    </xf>
    <xf numFmtId="164" fontId="0" fillId="7" borderId="1" xfId="2" applyNumberFormat="1" applyFont="1" applyFill="1" applyBorder="1" applyAlignment="1" applyProtection="1">
      <alignment horizontal="center"/>
    </xf>
    <xf numFmtId="0" fontId="2" fillId="8" borderId="1" xfId="0" applyFont="1" applyFill="1" applyBorder="1" applyProtection="1">
      <protection locked="0"/>
    </xf>
    <xf numFmtId="0" fontId="8" fillId="8" borderId="1" xfId="0" applyFont="1" applyFill="1" applyBorder="1" applyAlignment="1" applyProtection="1">
      <alignment horizontal="center"/>
      <protection locked="0"/>
    </xf>
    <xf numFmtId="0" fontId="2" fillId="8" borderId="6" xfId="0" applyFont="1" applyFill="1" applyBorder="1" applyProtection="1">
      <protection locked="0"/>
    </xf>
    <xf numFmtId="0" fontId="2" fillId="8" borderId="16" xfId="0" applyFont="1" applyFill="1" applyBorder="1" applyProtection="1">
      <protection locked="0"/>
    </xf>
    <xf numFmtId="0" fontId="2" fillId="8" borderId="17" xfId="0" applyFont="1" applyFill="1" applyBorder="1" applyProtection="1">
      <protection locked="0"/>
    </xf>
    <xf numFmtId="0" fontId="2" fillId="8" borderId="18" xfId="0" applyFont="1" applyFill="1" applyBorder="1" applyProtection="1">
      <protection locked="0"/>
    </xf>
    <xf numFmtId="0" fontId="2" fillId="8" borderId="5" xfId="0" applyFont="1" applyFill="1" applyBorder="1" applyProtection="1">
      <protection locked="0"/>
    </xf>
    <xf numFmtId="164" fontId="2" fillId="8" borderId="1" xfId="2" applyNumberFormat="1" applyFont="1" applyFill="1" applyBorder="1" applyProtection="1"/>
    <xf numFmtId="0" fontId="2" fillId="3" borderId="1" xfId="0" applyFont="1" applyFill="1" applyBorder="1" applyProtection="1"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164" fontId="2" fillId="3" borderId="1" xfId="2" applyNumberFormat="1" applyFont="1" applyFill="1" applyBorder="1" applyProtection="1"/>
    <xf numFmtId="0" fontId="9" fillId="2" borderId="19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 applyProtection="1">
      <alignment horizontal="center"/>
      <protection locked="0"/>
    </xf>
    <xf numFmtId="164" fontId="0" fillId="0" borderId="5" xfId="2" applyNumberFormat="1" applyFont="1" applyBorder="1" applyAlignment="1" applyProtection="1">
      <alignment horizontal="center"/>
    </xf>
    <xf numFmtId="0" fontId="8" fillId="8" borderId="5" xfId="0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>
      <alignment horizontal="center" vertical="center" wrapText="1"/>
    </xf>
    <xf numFmtId="164" fontId="0" fillId="0" borderId="14" xfId="2" applyNumberFormat="1" applyFont="1" applyBorder="1" applyAlignment="1" applyProtection="1">
      <alignment horizontal="center"/>
    </xf>
    <xf numFmtId="164" fontId="0" fillId="0" borderId="15" xfId="2" applyNumberFormat="1" applyFont="1" applyBorder="1" applyAlignment="1" applyProtection="1">
      <alignment horizontal="center"/>
    </xf>
    <xf numFmtId="0" fontId="8" fillId="8" borderId="16" xfId="0" applyFont="1" applyFill="1" applyBorder="1" applyAlignment="1" applyProtection="1">
      <alignment horizontal="center"/>
      <protection locked="0"/>
    </xf>
    <xf numFmtId="0" fontId="8" fillId="8" borderId="18" xfId="0" applyFont="1" applyFill="1" applyBorder="1" applyAlignment="1" applyProtection="1">
      <alignment horizontal="center"/>
      <protection locked="0"/>
    </xf>
    <xf numFmtId="10" fontId="0" fillId="7" borderId="6" xfId="1" applyNumberFormat="1" applyFont="1" applyFill="1" applyBorder="1" applyAlignment="1" applyProtection="1">
      <alignment horizontal="center"/>
    </xf>
    <xf numFmtId="10" fontId="0" fillId="0" borderId="1" xfId="1" applyNumberFormat="1" applyFont="1" applyBorder="1" applyAlignment="1" applyProtection="1">
      <alignment horizontal="center"/>
    </xf>
    <xf numFmtId="0" fontId="8" fillId="3" borderId="6" xfId="0" applyFont="1" applyFill="1" applyBorder="1" applyAlignment="1" applyProtection="1">
      <alignment horizontal="center"/>
      <protection locked="0"/>
    </xf>
    <xf numFmtId="0" fontId="8" fillId="3" borderId="5" xfId="0" applyFont="1" applyFill="1" applyBorder="1" applyAlignment="1" applyProtection="1">
      <alignment horizontal="center"/>
      <protection locked="0"/>
    </xf>
    <xf numFmtId="0" fontId="8" fillId="3" borderId="16" xfId="0" applyFont="1" applyFill="1" applyBorder="1" applyAlignment="1" applyProtection="1">
      <alignment horizontal="center"/>
      <protection locked="0"/>
    </xf>
    <xf numFmtId="0" fontId="8" fillId="3" borderId="18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164" fontId="0" fillId="0" borderId="0" xfId="0" applyNumberFormat="1"/>
    <xf numFmtId="49" fontId="0" fillId="0" borderId="0" xfId="0" applyNumberFormat="1" applyAlignment="1">
      <alignment horizontal="left" vertical="top" wrapText="1"/>
    </xf>
    <xf numFmtId="49" fontId="4" fillId="2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0" fontId="9" fillId="9" borderId="9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 applyProtection="1">
      <alignment horizontal="center"/>
      <protection locked="0"/>
    </xf>
    <xf numFmtId="0" fontId="9" fillId="9" borderId="21" xfId="0" applyFont="1" applyFill="1" applyBorder="1" applyAlignment="1" applyProtection="1">
      <alignment horizontal="center"/>
      <protection locked="0"/>
    </xf>
  </cellXfs>
  <cellStyles count="3">
    <cellStyle name="Moneda" xfId="2" builtinId="4"/>
    <cellStyle name="Normal" xfId="0" builtinId="0"/>
    <cellStyle name="Porcentaje" xfId="1" builtinId="5"/>
  </cellStyles>
  <dxfs count="166"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000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000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0000"/>
        </patternFill>
      </fill>
    </dxf>
    <dxf>
      <numFmt numFmtId="164" formatCode="#,##0.00\ &quot;€&quot;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fill>
        <patternFill patternType="solid">
          <fgColor rgb="FF000000"/>
          <bgColor rgb="FFD9D9D9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outline="0">
        <left style="thin">
          <color rgb="FF000000"/>
        </left>
        <top style="thin">
          <color rgb="FF000000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fill>
        <patternFill patternType="solid">
          <fgColor rgb="FF000000"/>
          <bgColor rgb="FFD9D9D9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outline="0">
        <left style="thin">
          <color rgb="FF000000"/>
        </left>
        <top style="thin">
          <color rgb="FF000000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left style="thin">
          <color indexed="64"/>
        </left>
        <top style="thin">
          <color indexed="64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charset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99"/>
      <color rgb="FFC6E0B4"/>
      <color rgb="FFFFC7CE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1</xdr:col>
      <xdr:colOff>0</xdr:colOff>
      <xdr:row>0</xdr:row>
      <xdr:rowOff>604908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FC4798-D962-414C-AFB8-1FCA264DB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6"/>
          <a:ext cx="1647825" cy="5953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2</xdr:row>
      <xdr:rowOff>50800</xdr:rowOff>
    </xdr:from>
    <xdr:to>
      <xdr:col>7</xdr:col>
      <xdr:colOff>615950</xdr:colOff>
      <xdr:row>6</xdr:row>
      <xdr:rowOff>129492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352F99-E4E6-394A-74BF-11894F95D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6950" y="419100"/>
          <a:ext cx="1968500" cy="815292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215900</xdr:colOff>
      <xdr:row>8</xdr:row>
      <xdr:rowOff>82550</xdr:rowOff>
    </xdr:from>
    <xdr:to>
      <xdr:col>7</xdr:col>
      <xdr:colOff>634241</xdr:colOff>
      <xdr:row>13</xdr:row>
      <xdr:rowOff>31750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4F6906-826D-E5CC-F3F2-F10669C33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21400" y="1555750"/>
          <a:ext cx="1942341" cy="86995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1" xr16:uid="{63869BA6-ACF2-4974-A30A-D6A3D9C08AA1}" autoFormatId="16" applyNumberFormats="0" applyBorderFormats="0" applyFontFormats="0" applyPatternFormats="0" applyAlignmentFormats="0" applyWidthHeightFormats="0">
  <queryTableRefresh nextId="7">
    <queryTableFields count="4">
      <queryTableField id="1" name="Título" tableColumnId="1"/>
      <queryTableField id="5" name="Categoría" tableColumnId="5"/>
      <queryTableField id="2" name="Tipo de título" tableColumnId="2"/>
      <queryTableField id="4" name="Pérdida de ingresos subvencionable" tableColumnId="4"/>
    </queryTableFields>
  </queryTableRefresh>
</queryTable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3DB4054-3D56-4D75-A89C-BC15B54D9570}" name="tb_entidad" displayName="tb_entidad" ref="B6:C7" totalsRowShown="0" headerRowDxfId="165" headerRowBorderDxfId="164" tableBorderDxfId="163" totalsRowBorderDxfId="162">
  <autoFilter ref="B6:C7" xr:uid="{03DB4054-3D56-4D75-A89C-BC15B54D9570}">
    <filterColumn colId="0" hiddenButton="1"/>
    <filterColumn colId="1" hiddenButton="1"/>
  </autoFilter>
  <tableColumns count="2">
    <tableColumn id="1" xr3:uid="{BE03F901-F4B3-4B86-99E2-12DEB24FF5ED}" name="Número Expediente" dataDxfId="161"/>
    <tableColumn id="2" xr3:uid="{ABF30E74-F52B-4616-A762-2555A76BC5F4}" name="Nombre entidad" dataDxfId="16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7EF62A-116F-43B9-A806-E578EE0AD628}" name="tblCATGENERAL" displayName="tblCATGENERAL" ref="A2:W29" headerRowDxfId="159" dataDxfId="158" totalsRowDxfId="156" tableBorderDxfId="157" totalsRowBorderDxfId="155">
  <tableColumns count="23">
    <tableColumn id="1" xr3:uid="{5C3C97B5-8B02-42E2-BD59-783BB27B5339}" name="Título" totalsRowLabel="Total" dataDxfId="154" totalsRowDxfId="153"/>
    <tableColumn id="5" xr3:uid="{83C7836E-5213-4DD6-868F-A55160877E79}" name="Tipo de título" dataDxfId="152" totalsRowDxfId="151"/>
    <tableColumn id="2" xr3:uid="{BE2D3C5B-ADEC-436D-8AC1-DD173790F8AC}" name="Título propio o integrado" dataDxfId="150" totalsRowDxfId="149"/>
    <tableColumn id="3" xr3:uid="{4A1B988D-3612-41B8-859C-74D76504B00D}" name="Precio habitual sin descuento IVA INCLUIDO" totalsRowLabel=" No aplica " dataDxfId="148" totalsRowDxfId="147" dataCellStyle="Moneda"/>
    <tableColumn id="9" xr3:uid="{0BB71421-8EB5-4F9B-8FD5-37AD18D7BE33}" name="Porcentaje de descuento que se financia por parte de la entidad beneficiaria" dataDxfId="146" totalsRowDxfId="145" dataCellStyle="Moneda"/>
    <tableColumn id="10" xr3:uid="{526C1014-9AB6-44CE-9163-1D0BF0A3E823}" name="Porcentaje de descuento que se financia mediante subvención adicional obtenida por concesión de otras convocatorias o administraciones, en su caso." dataDxfId="144" totalsRowDxfId="143" dataCellStyle="Moneda"/>
    <tableColumn id="4" xr3:uid="{4B55C792-C5A3-47B7-BE24-24FC5EE49099}" name="Porcentaje de descuento que se financia por parte del Ministerio de Transportes y Movilidad Sostenible" totalsRowLabel="No aplica" dataDxfId="142" totalsRowDxfId="141" dataCellStyle="Porcentaje"/>
    <tableColumn id="21" xr3:uid="{EC5D0667-6BCB-49AE-9B97-6EDF5231369A}" name="Precio unitario con descuento 2024 _x000a_IVA INCLUIDO" dataDxfId="140" totalsRowDxfId="139" dataCellStyle="Porcentaje"/>
    <tableColumn id="22" xr3:uid="{511CEEFF-0372-4C0F-BDB9-9CF9B1CB8545}" name="Precio unitario con descuento 2025_x000a_IVA INCLUIDO" dataDxfId="138" totalsRowDxfId="137" dataCellStyle="Porcentaje"/>
    <tableColumn id="7" xr3:uid="{2AE88C56-79BC-48F3-85F6-9C1C82182CD0}" name="Precio unitario con descuento 2026_x000a_IVA INCLUIDO" totalsRowLabel="No aplica" dataDxfId="136" totalsRowDxfId="135" dataCellStyle="Moneda"/>
    <tableColumn id="6" xr3:uid="{D506F586-82DA-4974-9D22-DF0BCD6093A8}" name="Identificación unidad de demanda" dataDxfId="134" totalsRowDxfId="133" dataCellStyle="Moneda">
      <calculatedColumnFormula array="1">IF(OR(B3="",C3=""),"",_xlfn.IFS(
AND(B3="Abono",C3="Propio"),"N.º de unidades vendidas",
AND(B3="Abono",C3="Integrado"),"N.º de unidades vendidas x % medio de utilización",
AND(B3="Tít. multiviaje",C3="Propio"),"N.º de unidades vendidas",
AND(B3="Tít. multiviaje",C3="Integrado"),"N.º de unidades vendidas x % medio de utilización",
AND(B3="T. monedero I",C3="Propio"),"N.º de cargas de crédito aplicadas",
AND(B3="T. monedero I",C3="Integrado"),"N.º de cargas de crédito aplicadas x % medio de utilización",
AND(B3="T. monedero II",C3="Propio"),"N.º de validaciones",
AND(B3="T. monedero II",C3="Integrado"),"N.º de validaciones"
))</calculatedColumnFormula>
    </tableColumn>
    <tableColumn id="23" xr3:uid="{97DBB96B-FFA9-43ED-83A3-A704E2B9DD63}" name="Aplicación método Anexo I" dataDxfId="132" totalsRowDxfId="131"/>
    <tableColumn id="24" xr3:uid="{294D6D4F-45F7-48CB-ACC4-81F65F8210B2}" name="Estimación demanda 2024" dataDxfId="130" totalsRowDxfId="129"/>
    <tableColumn id="25" xr3:uid="{D0382CBD-F6D2-4583-8960-B4B6961E8AF9}" name="Estimación demanda 2025" dataDxfId="128" totalsRowDxfId="127"/>
    <tableColumn id="31" xr3:uid="{CD098854-4D61-42BC-A1AF-1E8D89A356F6}" name="Variación interanual 2024-2025" dataDxfId="126" totalsRowDxfId="125">
      <calculatedColumnFormula>IFERROR((tblCATGENERAL[[#This Row],[Estimación demanda 2025]]-tblCATGENERAL[[#This Row],[Estimación demanda 2024]])/tblCATGENERAL[[#This Row],[Estimación demanda 2024]],"")</calculatedColumnFormula>
    </tableColumn>
    <tableColumn id="27" xr3:uid="{42E51C93-E279-4532-B17D-7ED8236AF344}" name="Estimación demanda 2026 - Mét. Anexo I" dataDxfId="124" totalsRowDxfId="123">
      <calculatedColumnFormula>IFERROR(tblCATGENERAL[[#This Row],[Estimación demanda 2025]]*(1+tblCATGENERAL[[#This Row],[Variación interanual 2024-2025]]),"")</calculatedColumnFormula>
    </tableColumn>
    <tableColumn id="15" xr3:uid="{309E3973-1604-4B67-953D-BD6D52842E03}" name="Estimación demanda 2026 - Mét. Propio" dataDxfId="122" totalsRowDxfId="121" dataCellStyle="Moneda"/>
    <tableColumn id="30" xr3:uid="{47617CD8-6C1A-40D9-AE0B-03C48E060EE8}" name="Estimación demanda 2026" dataDxfId="120">
      <calculatedColumnFormula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calculatedColumnFormula>
    </tableColumn>
    <tableColumn id="28" xr3:uid="{76E6F691-717A-46DC-88F9-CB827D270B66}" name="% medio utilización" dataDxfId="119" totalsRowDxfId="118"/>
    <tableColumn id="29" xr3:uid="{637FA873-8F29-46D4-BEAC-7CA47267DBAD}" name="Unidades de demanda" dataDxfId="117">
      <calculatedColumnFormula>IFERROR(IF(OR(C3="Propio",AND(C3="Integrado",B3="T. monedero II")),tblCATGENERAL[[#This Row],[Estimación demanda 2026]],tblCATGENERAL[[#This Row],[Estimación demanda 2026]]*tblCATGENERAL[[#This Row],[% medio utilización]]),"")</calculatedColumnFormula>
    </tableColumn>
    <tableColumn id="8" xr3:uid="{B81A7CED-13AE-4633-A7C7-884C5E5D0E34}" name="Pérdida unitaria de ingresos" totalsRowLabel="No aplica" dataDxfId="116" totalsRowDxfId="115" dataCellStyle="Moneda"/>
    <tableColumn id="11" xr3:uid="{6148266F-0CEB-453B-83B1-AAE814BB474C}" name="Pérdida de ingresos global, a partir del número total de títulos y de la pérdida unitaria de ingresos " dataDxfId="114" totalsRowDxfId="113" dataCellStyle="Moneda">
      <calculatedColumnFormula>#REF!*tblCATGENERAL[[#This Row],[Pérdida unitaria de ingresos]]</calculatedColumnFormula>
    </tableColumn>
    <tableColumn id="12" xr3:uid="{0320F29A-697C-4C2D-AC1E-D5FCADBF71F3}" name="Pérdida de ingresos global estimada, en cada título bonificado, a financiar mediante las ayudas del RDL 17/2025" dataDxfId="112" totalsRowDxfId="111" dataCellStyle="Moneda">
      <calculatedColumnFormula>IFERROR(tblCATGENERAL[[#This Row],[Pérdida de ingresos global, a partir del número total de títulos y de la pérdida unitaria de ingresos ]]*#REF!/(#REF!+#REF!+#REF!),0)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EF232A7-A098-4F52-815C-CA06C1E0CDCC}" name="tblJOVEN" displayName="tblJOVEN" ref="A2:W29" headerRowDxfId="110" dataDxfId="109" totalsRowDxfId="107" tableBorderDxfId="108" totalsRowBorderDxfId="106">
  <tableColumns count="23">
    <tableColumn id="1" xr3:uid="{8E3CDE19-F047-4C6B-BA4E-87100A668476}" name="Título" totalsRowLabel="Total" dataDxfId="105" totalsRowDxfId="104"/>
    <tableColumn id="5" xr3:uid="{5B9FAEC2-50E4-4739-89EA-A3331F0B329F}" name="Tipo de título" dataDxfId="103" totalsRowDxfId="102"/>
    <tableColumn id="2" xr3:uid="{1B2A8B88-9F1A-48A5-9429-109CB14D6138}" name="Título propio o integrado" dataDxfId="101" totalsRowDxfId="100"/>
    <tableColumn id="3" xr3:uid="{F339EABE-A359-4EC3-95AF-9976928EF397}" name="Precio habitual sin descuento _x000a_IVA INCLUIDO" totalsRowLabel=" No aplica " dataDxfId="99" totalsRowDxfId="98" dataCellStyle="Moneda"/>
    <tableColumn id="9" xr3:uid="{BFFB48BE-4207-456D-85C8-7D5C9182F16E}" name="Porcentaje de descuento que se financia por parte de la entidad beneficiaria" dataDxfId="97" totalsRowDxfId="96" dataCellStyle="Moneda"/>
    <tableColumn id="10" xr3:uid="{36F120C8-1F7D-45E0-B6C7-B4011073B7BA}" name="Porcentaje de descuento que se financia mediante subvención adicional obtenida por concesión de otras convocatorias o administraciones, en su caso." dataDxfId="95" totalsRowDxfId="94" dataCellStyle="Moneda"/>
    <tableColumn id="4" xr3:uid="{A9E16F92-62D3-4D0C-AC0A-1511EB23899B}" name="Porcentaje de descuento que se financia por parte del Ministerio de Transportes y Movilidad Sostenible" totalsRowLabel="No aplica" dataDxfId="93" totalsRowDxfId="92" dataCellStyle="Porcentaje"/>
    <tableColumn id="21" xr3:uid="{13B31588-762E-4507-8A44-E00FAC86BB1C}" name="Precio unitario con descuento 2024_x000a_IVA INCLUIDO" dataDxfId="91" totalsRowDxfId="90" dataCellStyle="Porcentaje"/>
    <tableColumn id="22" xr3:uid="{97996A56-DA12-4CA8-913A-7D75CCAE6EFF}" name="Precio unitario con descuento 2025_x000a_IVA INCLUIDO" dataDxfId="89" totalsRowDxfId="88" dataCellStyle="Porcentaje"/>
    <tableColumn id="7" xr3:uid="{8260C905-840C-496D-A9F4-C6896A66E9AC}" name="Precio unitario con descuento 2026_x000a_IVA INCLUIDO" totalsRowLabel="No aplica" dataDxfId="87" totalsRowDxfId="86" dataCellStyle="Moneda"/>
    <tableColumn id="6" xr3:uid="{D7A73D4C-5217-4143-861E-04E6B520BA20}" name="Identificación unidad de demanda" dataDxfId="85" totalsRowDxfId="84" dataCellStyle="Moneda">
      <calculatedColumnFormula array="1">IF(OR(B3="",C3=""),"",_xlfn.IFS(
AND(B3="Abono",C3="Propio"),"N.º de unidades vendidas",
AND(B3="Abono",C3="Integrado"),"N.º de unidades vendidas x % medio de utilización",
AND(B3="Tít. multiviaje",C3="Propio"),"N.º de unidades vendidas",
AND(B3="Tít. multiviaje",C3="Integrado"),"N.º de unidades vendidas x % medio de utilización",
AND(B3="T. monedero I",C3="Propio"),"N.º de cargas de crédito aplicadas",
AND(B3="T. monedero I",C3="Integrado"),"N.º de cargas de crédito aplicadas x % medio de utilización",
AND(B3="T. monedero II",C3="Propio"),"N.º de validaciones",
AND(B3="T. monedero II",C3="Integrado"),"N.º de validaciones"
))</calculatedColumnFormula>
    </tableColumn>
    <tableColumn id="23" xr3:uid="{3F30089D-5C0A-4EC5-B1CE-17C220699E1F}" name="Aplicación método Anexo I" dataDxfId="83" totalsRowDxfId="82"/>
    <tableColumn id="24" xr3:uid="{33F6075E-51E7-40B6-BB26-064295D69F95}" name="Estimación demanda 2024" dataDxfId="81" totalsRowDxfId="80"/>
    <tableColumn id="25" xr3:uid="{CB1C73EA-F581-4F92-BC41-1BA2D6663FF6}" name="Estimación demanda 2025" dataDxfId="79" totalsRowDxfId="78"/>
    <tableColumn id="31" xr3:uid="{886F81BF-F5C8-476F-BB37-5C8C8B63E1CC}" name="Variación interanual 2024-2025" dataDxfId="77" totalsRowDxfId="76">
      <calculatedColumnFormula>IFERROR((tblJOVEN[[#This Row],[Estimación demanda 2025]]-tblJOVEN[[#This Row],[Estimación demanda 2024]])/tblJOVEN[[#This Row],[Estimación demanda 2024]],"")</calculatedColumnFormula>
    </tableColumn>
    <tableColumn id="27" xr3:uid="{374700A4-A9ED-4F8A-88C6-782F183BEC9D}" name="Estimación demanda 2026 - Mét. Anexo I" dataDxfId="75" totalsRowDxfId="74">
      <calculatedColumnFormula>IFERROR(tblJOVEN[[#This Row],[Estimación demanda 2025]]*(1+tblJOVEN[[#This Row],[Variación interanual 2024-2025]]),"")</calculatedColumnFormula>
    </tableColumn>
    <tableColumn id="15" xr3:uid="{F594BBB5-FCAF-4B11-B3B0-A7D9EA5181AF}" name="Estimación demanda 2026 - Mét. Propio" dataDxfId="73" totalsRowDxfId="72" dataCellStyle="Moneda"/>
    <tableColumn id="30" xr3:uid="{82EB40A2-2E36-4F85-BC1D-E8804CCD52D2}" name="Estimación demanda 2026" dataDxfId="71">
      <calculatedColumnFormula>IF(tblJOVEN[[#This Row],[Aplicación método Anexo I]]=Hoja1!$C$2,tblJOVEN[[#This Row],[Estimación demanda 2026 - Mét. Anexo I]],IF(tblJOVEN[[#This Row],[Aplicación método Anexo I]]=Hoja1!$C$3,tblJOVEN[[#This Row],[Estimación demanda 2026 - Mét. Propio]],""))</calculatedColumnFormula>
    </tableColumn>
    <tableColumn id="28" xr3:uid="{2DA3B9B6-2A07-4881-96C5-6C39860FA32A}" name="% medio utilización" dataDxfId="70" totalsRowDxfId="69"/>
    <tableColumn id="29" xr3:uid="{76655CD2-9099-41E3-B5A8-10CF664C886F}" name="Unidades de demanda" dataDxfId="68">
      <calculatedColumnFormula>IFERROR(IF(OR(C3="Propio",AND(C3="Integrado",B3="T. monedero II")),tblJOVEN[[#This Row],[Estimación demanda 2026]],tblJOVEN[[#This Row],[Estimación demanda 2026]]*tblJOVEN[[#This Row],[% medio utilización]]),"")</calculatedColumnFormula>
    </tableColumn>
    <tableColumn id="8" xr3:uid="{246F606D-DD74-48DF-809C-6601ADEBD9B5}" name="Pérdida unitaria de ingresos" totalsRowLabel="No aplica" dataDxfId="67" totalsRowDxfId="66" dataCellStyle="Moneda"/>
    <tableColumn id="11" xr3:uid="{7838C8FC-9AA0-4111-AF4C-766880DB3005}" name="Pérdida de ingresos global, a partir del número total de títulos y de la pérdida unitaria de ingresos " dataDxfId="65" totalsRowDxfId="64" dataCellStyle="Moneda">
      <calculatedColumnFormula>#REF!*tblJOVEN[[#This Row],[Pérdida unitaria de ingresos]]</calculatedColumnFormula>
    </tableColumn>
    <tableColumn id="12" xr3:uid="{875D16B1-9464-4D3E-B08D-50BE23B84867}" name="Pérdida de ingresos global estimada, en cada título bonificado, a financiar mediante las ayudas del RDL 17/2025" dataDxfId="63" totalsRowDxfId="62" dataCellStyle="Moneda">
      <calculatedColumnFormula>IFERROR(tblJOVEN[[#This Row],[Pérdida de ingresos global, a partir del número total de títulos y de la pérdida unitaria de ingresos ]]*#REF!/(#REF!+#REF!+#REF!),0)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CB0EE8F-D495-4FE8-9C54-9CDD9BC452DF}" name="tblINFANTIL" displayName="tblINFANTIL" ref="A2:W29" headerRowDxfId="61" dataDxfId="60" totalsRowDxfId="58" tableBorderDxfId="59" totalsRowBorderDxfId="57">
  <tableColumns count="23">
    <tableColumn id="1" xr3:uid="{0B6935FF-ABCE-4626-BB25-722679F26986}" name="Título" totalsRowLabel="Total" dataDxfId="56" totalsRowDxfId="55"/>
    <tableColumn id="5" xr3:uid="{B6A8FB64-1A79-407C-80B5-D62D3936A6C3}" name="Tipo de título" dataDxfId="54" totalsRowDxfId="53"/>
    <tableColumn id="2" xr3:uid="{83F152FE-BF2A-4F59-AD26-1F87F61D1B93}" name="Título propio o integrado" dataDxfId="52" totalsRowDxfId="51"/>
    <tableColumn id="3" xr3:uid="{9360BBFB-FD8F-4934-A4DA-51852E4870E6}" name="Precio habitual sin descuento _x000a_IVA INCLUIDO" totalsRowLabel=" No aplica " dataDxfId="50" totalsRowDxfId="49" dataCellStyle="Moneda"/>
    <tableColumn id="9" xr3:uid="{F6EB6B95-62D4-4C67-9E49-2AB1D9719961}" name="Porcentaje de descuento que se financia por parte de la entidad beneficiaria" dataDxfId="48" totalsRowDxfId="47" dataCellStyle="Moneda"/>
    <tableColumn id="10" xr3:uid="{93829147-7E7B-44CE-8342-3F67FC0F3338}" name="Porcentaje de descuento que se financia mediante subvención adicional obtenida por concesión de otras convocatorias o administraciones, en su caso." dataDxfId="46" totalsRowDxfId="45" dataCellStyle="Moneda"/>
    <tableColumn id="4" xr3:uid="{216C7D72-183D-403F-89E5-D9191D932BFB}" name="Porcentaje de descuento que se financia por parte del Ministerio de Transportes y Movilidad Sostenible" totalsRowLabel="No aplica" dataDxfId="44" totalsRowDxfId="43" dataCellStyle="Porcentaje"/>
    <tableColumn id="21" xr3:uid="{4347EB8B-0A5D-4627-805F-0EBAF198E303}" name="Precio unitario con descuento 2024_x000a_IVA INCLUIDO" dataDxfId="42" totalsRowDxfId="41" dataCellStyle="Porcentaje"/>
    <tableColumn id="22" xr3:uid="{AE8516F9-D76A-4FE8-B1DC-9925A4E9A38C}" name="Precio unitario con descuento 2025_x000a_IVA INCLUIDO" dataDxfId="40" totalsRowDxfId="39" dataCellStyle="Porcentaje"/>
    <tableColumn id="7" xr3:uid="{7E75659B-4D23-430E-BA4A-968EA861113F}" name="Precio unitario con descuento 2026_x000a_IVA INCLUIDO" totalsRowLabel="No aplica" dataDxfId="38" totalsRowDxfId="37" dataCellStyle="Moneda"/>
    <tableColumn id="6" xr3:uid="{A57501FB-3F46-4DBB-B625-D43ECAB842E5}" name="Identificación unidad de demanda" dataDxfId="36" totalsRowDxfId="35" dataCellStyle="Moneda">
      <calculatedColumnFormula array="1">IF(OR(B3="",C3=""),"",_xlfn.IFS(
AND(B3="Abono",C3="Propio"),"N.º de unidades vendidas",
AND(B3="Abono",C3="Integrado"),"N.º de unidades vendidas x % medio de utilización",
AND(B3="Tít. multiviaje",C3="Propio"),"N.º de unidades vendidas",
AND(B3="Tít. multiviaje",C3="Integrado"),"N.º de unidades vendidas x % medio de utilización",
AND(B3="T. monedero I",C3="Propio"),"N.º de cargas de crédito aplicadas",
AND(B3="T. monedero I",C3="Integrado"),"N.º de cargas de crédito aplicadas x % medio de utilización",
AND(B3="T. monedero II",C3="Propio"),"N.º de validaciones",
AND(B3="T. monedero II",C3="Integrado"),"N.º de validaciones"
))</calculatedColumnFormula>
    </tableColumn>
    <tableColumn id="23" xr3:uid="{8D04F4F0-827D-498B-A2AE-14E6E724CE30}" name="Aplicación método Anexo I" dataDxfId="34" totalsRowDxfId="33"/>
    <tableColumn id="24" xr3:uid="{8C439770-5B8C-4591-A6BF-FAB2FF68D78A}" name="Estimación demanda 2024" dataDxfId="32" totalsRowDxfId="31"/>
    <tableColumn id="25" xr3:uid="{753815EA-478E-4B17-BF04-00F16C495E28}" name="Estimación demanda 2025" dataDxfId="30" totalsRowDxfId="29"/>
    <tableColumn id="31" xr3:uid="{881FFD25-77A4-4624-B7AA-430E13256F9C}" name="Variación interanual 2024-2025" dataDxfId="28" totalsRowDxfId="27">
      <calculatedColumnFormula>IFERROR((tblINFANTIL[[#This Row],[Estimación demanda 2025]]-tblINFANTIL[[#This Row],[Estimación demanda 2024]])/tblINFANTIL[[#This Row],[Estimación demanda 2024]],"")</calculatedColumnFormula>
    </tableColumn>
    <tableColumn id="27" xr3:uid="{0625D9E3-B916-498F-9DDB-8410532403DB}" name="Estimación demanda 2026 - Mét. Anexo I" dataDxfId="26" totalsRowDxfId="25">
      <calculatedColumnFormula>IFERROR(tblINFANTIL[[#This Row],[Estimación demanda 2025]]*(1+tblINFANTIL[[#This Row],[Variación interanual 2024-2025]]),"")</calculatedColumnFormula>
    </tableColumn>
    <tableColumn id="15" xr3:uid="{5DBD0037-D6B7-4637-AEA8-0AB703548B77}" name="Estimación demanda 2026 - Mét. Propio" dataDxfId="24" totalsRowDxfId="23" dataCellStyle="Moneda"/>
    <tableColumn id="30" xr3:uid="{69F849BB-5F79-4F05-ADC8-2C439650F1EF}" name="Estimación demanda 2026" dataDxfId="22">
      <calculatedColumnFormula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calculatedColumnFormula>
    </tableColumn>
    <tableColumn id="28" xr3:uid="{EA7B36C4-DA78-4C35-991D-D2FC5469F5F7}" name="% medio utilización" dataDxfId="21" totalsRowDxfId="20"/>
    <tableColumn id="29" xr3:uid="{FEAEB25E-74AA-4C6A-A635-C8C66061EA8C}" name="Unidades de demanda" dataDxfId="19">
      <calculatedColumnFormula>IFERROR(IF(OR(C3="Propio",AND(C3="Integrado",OR(B3="T. monedero I",B3="T. monedero II",B3="Tít. multiviaje"))),tblINFANTIL[[#This Row],[Estimación demanda 2026]],tblINFANTIL[[#This Row],[Estimación demanda 2026]]*tblINFANTIL[[#This Row],[% medio utilización]]),"")</calculatedColumnFormula>
    </tableColumn>
    <tableColumn id="8" xr3:uid="{A8CA3A86-FA8E-478D-B8F3-709CA3B82BFF}" name="Pérdida unitaria de ingresos" totalsRowLabel="No aplica" dataDxfId="18" totalsRowDxfId="17" dataCellStyle="Moneda"/>
    <tableColumn id="11" xr3:uid="{86257DE5-F912-44F7-9AD7-4B664EDEF926}" name="Pérdida de ingresos global, a partir del número total de títulos y de la pérdida unitaria de ingresos " dataDxfId="16" totalsRowDxfId="15" dataCellStyle="Moneda">
      <calculatedColumnFormula>#REF!*tblINFANTIL[[#This Row],[Pérdida unitaria de ingresos]]</calculatedColumnFormula>
    </tableColumn>
    <tableColumn id="12" xr3:uid="{801A91C4-4FC3-49C3-80B3-072C1565AEAC}" name="Pérdida de ingresos global estimada, en cada título bonificado, a financiar mediante las ayudas del RDL 17/2025" dataDxfId="14" totalsRowDxfId="13" dataCellStyle="Moneda">
      <calculatedColumnFormula>IFERROR(tblINFANTIL[[#This Row],[Pérdida de ingresos global, a partir del número total de títulos y de la pérdida unitaria de ingresos ]]*#REF!/(#REF!+#REF!+#REF!),0)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F96E38-E4F0-485D-969D-33B07377AC20}" name="Consulta2" displayName="Consulta2" ref="A1:D2" tableType="queryTable" insertRow="1" totalsRowShown="0">
  <autoFilter ref="A1:D2" xr:uid="{1EF96E38-E4F0-485D-969D-33B07377AC20}"/>
  <tableColumns count="4">
    <tableColumn id="1" xr3:uid="{EF6C9412-34B7-4F64-93DB-4A73ECCF038D}" uniqueName="1" name="Título" queryTableFieldId="1"/>
    <tableColumn id="5" xr3:uid="{6469E52A-9309-4D13-AC25-B20D6AAB6927}" uniqueName="5" name="Categoría" queryTableFieldId="5"/>
    <tableColumn id="2" xr3:uid="{BD9ACFD4-3208-408A-A6B0-0847F5068013}" uniqueName="2" name="Tipo de título" queryTableFieldId="2"/>
    <tableColumn id="4" xr3:uid="{83F72EC5-2BC0-497B-B764-A73B12B4D239}" uniqueName="4" name="Pérdida de ingresos subvencionable" queryTableFieldId="4" dataDxfId="1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83DB-AF55-4FED-9AB3-BEB1D86CECE7}">
  <sheetPr codeName="Hoja1"/>
  <dimension ref="A1:E7"/>
  <sheetViews>
    <sheetView tabSelected="1" workbookViewId="0">
      <selection activeCell="B1" sqref="B1:D1"/>
    </sheetView>
  </sheetViews>
  <sheetFormatPr baseColWidth="10" defaultColWidth="11.453125" defaultRowHeight="14.5" x14ac:dyDescent="0.35"/>
  <cols>
    <col min="1" max="2" width="24.7265625" customWidth="1"/>
    <col min="3" max="3" width="48.7265625" customWidth="1"/>
    <col min="4" max="4" width="24.7265625" customWidth="1"/>
    <col min="5" max="5" width="42.1796875" customWidth="1"/>
  </cols>
  <sheetData>
    <row r="1" spans="1:5" ht="48.65" customHeight="1" x14ac:dyDescent="0.35">
      <c r="A1" s="1"/>
      <c r="B1" s="74" t="s">
        <v>49</v>
      </c>
      <c r="C1" s="74"/>
      <c r="D1" s="74"/>
    </row>
    <row r="2" spans="1:5" ht="26" x14ac:dyDescent="0.35">
      <c r="A2" s="2"/>
      <c r="B2" s="75" t="s">
        <v>35</v>
      </c>
      <c r="C2" s="75"/>
      <c r="D2" s="75"/>
    </row>
    <row r="3" spans="1:5" ht="21" x14ac:dyDescent="0.35">
      <c r="A3" s="3" t="s">
        <v>3</v>
      </c>
      <c r="B3" s="4"/>
    </row>
    <row r="4" spans="1:5" s="5" customFormat="1" ht="30.75" customHeight="1" x14ac:dyDescent="0.35">
      <c r="A4" s="73" t="s">
        <v>4</v>
      </c>
      <c r="B4" s="73"/>
      <c r="C4" s="73"/>
      <c r="D4" s="73"/>
      <c r="E4" s="25"/>
    </row>
    <row r="5" spans="1:5" s="5" customFormat="1" x14ac:dyDescent="0.35">
      <c r="A5" s="73"/>
      <c r="B5" s="73"/>
    </row>
    <row r="6" spans="1:5" ht="26.5" customHeight="1" x14ac:dyDescent="0.35">
      <c r="B6" s="7" t="s">
        <v>5</v>
      </c>
      <c r="C6" s="7" t="s">
        <v>6</v>
      </c>
    </row>
    <row r="7" spans="1:5" x14ac:dyDescent="0.35">
      <c r="B7" s="9" t="s">
        <v>32</v>
      </c>
      <c r="C7" s="6"/>
    </row>
  </sheetData>
  <mergeCells count="4">
    <mergeCell ref="A5:B5"/>
    <mergeCell ref="B1:D1"/>
    <mergeCell ref="B2:D2"/>
    <mergeCell ref="A4:D4"/>
  </mergeCells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W45"/>
  <sheetViews>
    <sheetView zoomScale="85" zoomScaleNormal="85" workbookViewId="0">
      <selection activeCell="A3" sqref="A3"/>
    </sheetView>
  </sheetViews>
  <sheetFormatPr baseColWidth="10" defaultColWidth="8.7265625" defaultRowHeight="14.5" x14ac:dyDescent="0.35"/>
  <cols>
    <col min="1" max="1" width="25.453125" style="8" customWidth="1"/>
    <col min="2" max="2" width="15.453125" style="8" customWidth="1"/>
    <col min="3" max="3" width="13.54296875" style="8" customWidth="1"/>
    <col min="4" max="4" width="12.81640625" customWidth="1"/>
    <col min="5" max="5" width="16.7265625" customWidth="1"/>
    <col min="6" max="6" width="25.54296875" customWidth="1"/>
    <col min="7" max="7" width="21.453125" customWidth="1"/>
    <col min="8" max="8" width="13.6328125" customWidth="1"/>
    <col min="9" max="9" width="14.36328125" customWidth="1"/>
    <col min="10" max="10" width="14" style="8" customWidth="1"/>
    <col min="11" max="11" width="48.81640625" style="12" bestFit="1" customWidth="1"/>
    <col min="12" max="12" width="11.81640625" style="12" bestFit="1" customWidth="1"/>
    <col min="13" max="13" width="12.1796875" style="12" customWidth="1"/>
    <col min="14" max="16" width="13" style="12" customWidth="1"/>
    <col min="17" max="18" width="11.7265625" style="8" customWidth="1"/>
    <col min="19" max="19" width="13" style="12" customWidth="1"/>
    <col min="20" max="20" width="12.453125" customWidth="1"/>
    <col min="21" max="21" width="11.7265625" style="8" customWidth="1"/>
    <col min="22" max="22" width="17.26953125" style="8" customWidth="1"/>
    <col min="23" max="23" width="20.7265625" style="8" customWidth="1"/>
    <col min="24" max="24" width="22.26953125" style="8" customWidth="1"/>
    <col min="25" max="25" width="20.1796875" style="8" customWidth="1"/>
    <col min="26" max="26" width="23.26953125" style="8" customWidth="1"/>
    <col min="27" max="16384" width="8.7265625" style="8"/>
  </cols>
  <sheetData>
    <row r="1" spans="1:23" ht="15" customHeight="1" thickTop="1" x14ac:dyDescent="0.35">
      <c r="D1" s="8"/>
      <c r="E1" s="8"/>
      <c r="F1" s="8"/>
      <c r="G1" s="12"/>
      <c r="H1" s="79" t="s">
        <v>20</v>
      </c>
      <c r="I1" s="80"/>
      <c r="K1" s="8"/>
      <c r="L1" s="8"/>
      <c r="M1" s="76" t="s">
        <v>20</v>
      </c>
      <c r="N1" s="77"/>
      <c r="O1" s="77"/>
      <c r="P1" s="78"/>
      <c r="S1" s="21"/>
      <c r="T1" s="8"/>
    </row>
    <row r="2" spans="1:23" customFormat="1" ht="87" x14ac:dyDescent="0.35">
      <c r="A2" s="30" t="s">
        <v>8</v>
      </c>
      <c r="B2" s="30" t="s">
        <v>9</v>
      </c>
      <c r="C2" s="30" t="s">
        <v>10</v>
      </c>
      <c r="D2" s="31" t="s">
        <v>41</v>
      </c>
      <c r="E2" s="31" t="s">
        <v>37</v>
      </c>
      <c r="F2" s="31" t="s">
        <v>38</v>
      </c>
      <c r="G2" s="52" t="s">
        <v>7</v>
      </c>
      <c r="H2" s="34" t="s">
        <v>42</v>
      </c>
      <c r="I2" s="56" t="s">
        <v>43</v>
      </c>
      <c r="J2" s="30" t="s">
        <v>44</v>
      </c>
      <c r="K2" s="30" t="s">
        <v>11</v>
      </c>
      <c r="L2" s="33" t="s">
        <v>25</v>
      </c>
      <c r="M2" s="34" t="s">
        <v>26</v>
      </c>
      <c r="N2" s="30" t="s">
        <v>27</v>
      </c>
      <c r="O2" s="30" t="s">
        <v>31</v>
      </c>
      <c r="P2" s="35" t="s">
        <v>29</v>
      </c>
      <c r="Q2" s="30" t="s">
        <v>30</v>
      </c>
      <c r="R2" s="30" t="s">
        <v>28</v>
      </c>
      <c r="S2" s="30" t="s">
        <v>24</v>
      </c>
      <c r="T2" s="30" t="s">
        <v>12</v>
      </c>
      <c r="U2" s="32" t="s">
        <v>0</v>
      </c>
      <c r="V2" s="32" t="s">
        <v>1</v>
      </c>
      <c r="W2" s="36" t="s">
        <v>13</v>
      </c>
    </row>
    <row r="3" spans="1:23" x14ac:dyDescent="0.35">
      <c r="A3" s="14"/>
      <c r="B3" s="17"/>
      <c r="C3" s="17"/>
      <c r="D3" s="18"/>
      <c r="E3" s="62"/>
      <c r="F3" s="62"/>
      <c r="G3" s="61">
        <f>MIN(1-E3-F3,0.2)</f>
        <v>0.2</v>
      </c>
      <c r="H3" s="57"/>
      <c r="I3" s="58"/>
      <c r="J3" s="54"/>
      <c r="K3" s="37" t="str" cm="1">
        <f t="array" ref="K3">IF(OR(B3="",C3=""),"",_xlfn.IFS(
AND(B3="Abono",C3="Propio"),"N.º de unidades vendidas",
AND(B3="Abono",C3="Integrado"),"N.º de unidades vendidas x % medio de utilización",
AND(B3="Tít. multiviaje",C3="Propio"),"N.º de unidades vendidas",
AND(B3="Tít. multiviaje",C3="Integrado"),"N.º de unidades vendidas x % medio de utilización",
AND(B3="T. monedero I",C3="Propio"),"N.º de cargas de crédito aplicadas",
AND(B3="T. monedero I",C3="Integrado"),"N.º de cargas de crédito aplicadas x % medio de utilización",
AND(B3="T. monedero II",C3="Propio"),"N.º de validaciones",
AND(B3="T. monedero II",C3="Integrado"),"N.º de validaciones"
))</f>
        <v/>
      </c>
      <c r="L3" s="26"/>
      <c r="M3" s="29"/>
      <c r="N3" s="17"/>
      <c r="O3" s="37" t="str">
        <f>IFERROR((tblCATGENERAL[[#This Row],[Estimación demanda 2025]]-tblCATGENERAL[[#This Row],[Estimación demanda 2024]])/tblCATGENERAL[[#This Row],[Estimación demanda 2024]],"")</f>
        <v/>
      </c>
      <c r="P3" s="38" t="str">
        <f>IFERROR(tblCATGENERAL[[#This Row],[Estimación demanda 2025]]*(1+tblCATGENERAL[[#This Row],[Variación interanual 2024-2025]]),"")</f>
        <v/>
      </c>
      <c r="Q3" s="27"/>
      <c r="R3" s="37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3" s="23"/>
      <c r="T3" s="37" t="str">
        <f>IFERROR(IF(OR(C3="Propio",AND(C3="Integrado",B3="T. monedero II")),tblCATGENERAL[[#This Row],[Estimación demanda 2026]],tblCATGENERAL[[#This Row],[Estimación demanda 2026]]*tblCATGENERAL[[#This Row],[% medio utilización]]),"")</f>
        <v/>
      </c>
      <c r="U3" s="40">
        <f>tblCATGENERAL[[#This Row],[Precio habitual sin descuento IVA INCLUIDO]]-tblCATGENERAL[[#This Row],[Precio unitario con descuento 2026
IVA INCLUIDO]]</f>
        <v>0</v>
      </c>
      <c r="V3" s="40" t="str">
        <f>IFERROR(tblCATGENERAL[[#This Row],[Unidades de demanda]]*tblCATGENERAL[[#This Row],[Pérdida unitaria de ingresos]],"")</f>
        <v/>
      </c>
      <c r="W3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4" spans="1:23" x14ac:dyDescent="0.35">
      <c r="A4" s="15"/>
      <c r="B4" s="19"/>
      <c r="C4" s="19"/>
      <c r="D4" s="20"/>
      <c r="E4" s="62"/>
      <c r="F4" s="62"/>
      <c r="G4" s="61">
        <f t="shared" ref="G4:G28" si="0">MIN(1-E4-F4,0.2)</f>
        <v>0.2</v>
      </c>
      <c r="H4" s="57"/>
      <c r="I4" s="58"/>
      <c r="J4" s="54"/>
      <c r="K4" s="37" t="str" cm="1">
        <f t="array" ref="K4">IF(OR(B4="",C4=""),"",_xlfn.IFS(
AND(B4="Abono",C4="Propio"),"N.º de unidades vendidas",
AND(B4="Abono",C4="Integrado"),"N.º de unidades vendidas x % medio de utilización",
AND(B4="Tít. multiviaje",C4="Propio"),"N.º de unidades vendidas",
AND(B4="Tít. multiviaje",C4="Integrado"),"N.º de unidades vendidas x % medio de utilización",
AND(B4="T. monedero I",C4="Propio"),"N.º de cargas de crédito aplicadas",
AND(B4="T. monedero I",C4="Integrado"),"N.º de cargas de crédito aplicadas x % medio de utilización",
AND(B4="T. monedero II",C4="Propio"),"N.º de validaciones",
AND(B4="T. monedero II",C4="Integrado"),"N.º de validaciones"
))</f>
        <v/>
      </c>
      <c r="L4" s="26"/>
      <c r="M4" s="29"/>
      <c r="N4" s="17"/>
      <c r="O4" s="37" t="str">
        <f>IFERROR((tblCATGENERAL[[#This Row],[Estimación demanda 2025]]-tblCATGENERAL[[#This Row],[Estimación demanda 2024]])/tblCATGENERAL[[#This Row],[Estimación demanda 2024]],"")</f>
        <v/>
      </c>
      <c r="P4" s="38" t="str">
        <f>IFERROR(tblCATGENERAL[[#This Row],[Estimación demanda 2025]]*(1+tblCATGENERAL[[#This Row],[Variación interanual 2024-2025]]),"")</f>
        <v/>
      </c>
      <c r="Q4" s="28"/>
      <c r="R4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4" s="23"/>
      <c r="T4" s="37" t="str">
        <f>IFERROR(IF(OR(C4="Propio",AND(C4="Integrado",B4="T. monedero II")),tblCATGENERAL[[#This Row],[Estimación demanda 2026]],tblCATGENERAL[[#This Row],[Estimación demanda 2026]]*tblCATGENERAL[[#This Row],[% medio utilización]]),"")</f>
        <v/>
      </c>
      <c r="U4" s="40">
        <f>tblCATGENERAL[[#This Row],[Precio habitual sin descuento IVA INCLUIDO]]-tblCATGENERAL[[#This Row],[Precio unitario con descuento 2026
IVA INCLUIDO]]</f>
        <v>0</v>
      </c>
      <c r="V4" s="40" t="str">
        <f>IFERROR(tblCATGENERAL[[#This Row],[Unidades de demanda]]*tblCATGENERAL[[#This Row],[Pérdida unitaria de ingresos]],"")</f>
        <v/>
      </c>
      <c r="W4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5" spans="1:23" x14ac:dyDescent="0.35">
      <c r="A5" s="15"/>
      <c r="B5" s="19"/>
      <c r="C5" s="19"/>
      <c r="D5" s="20"/>
      <c r="E5" s="62"/>
      <c r="F5" s="62"/>
      <c r="G5" s="61">
        <f t="shared" si="0"/>
        <v>0.2</v>
      </c>
      <c r="H5" s="57"/>
      <c r="I5" s="58"/>
      <c r="J5" s="54"/>
      <c r="K5" s="37" t="str" cm="1">
        <f t="array" ref="K5">IF(OR(B5="",C5=""),"",_xlfn.IFS(
AND(B5="Abono",C5="Propio"),"N.º de unidades vendidas",
AND(B5="Abono",C5="Integrado"),"N.º de unidades vendidas x % medio de utilización",
AND(B5="Tít. multiviaje",C5="Propio"),"N.º de unidades vendidas",
AND(B5="Tít. multiviaje",C5="Integrado"),"N.º de unidades vendidas x % medio de utilización",
AND(B5="T. monedero I",C5="Propio"),"N.º de cargas de crédito aplicadas",
AND(B5="T. monedero I",C5="Integrado"),"N.º de cargas de crédito aplicadas x % medio de utilización",
AND(B5="T. monedero II",C5="Propio"),"N.º de validaciones",
AND(B5="T. monedero II",C5="Integrado"),"N.º de validaciones"
))</f>
        <v/>
      </c>
      <c r="L5" s="26"/>
      <c r="M5" s="29"/>
      <c r="N5" s="17"/>
      <c r="O5" s="37" t="str">
        <f>IFERROR((tblCATGENERAL[[#This Row],[Estimación demanda 2025]]-tblCATGENERAL[[#This Row],[Estimación demanda 2024]])/tblCATGENERAL[[#This Row],[Estimación demanda 2024]],"")</f>
        <v/>
      </c>
      <c r="P5" s="38" t="str">
        <f>IFERROR(tblCATGENERAL[[#This Row],[Estimación demanda 2025]]*(1+tblCATGENERAL[[#This Row],[Variación interanual 2024-2025]]),"")</f>
        <v/>
      </c>
      <c r="Q5" s="28"/>
      <c r="R5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5" s="23"/>
      <c r="T5" s="37" t="str">
        <f>IFERROR(IF(OR(C5="Propio",AND(C5="Integrado",B5="T. monedero II")),tblCATGENERAL[[#This Row],[Estimación demanda 2026]],tblCATGENERAL[[#This Row],[Estimación demanda 2026]]*tblCATGENERAL[[#This Row],[% medio utilización]]),"")</f>
        <v/>
      </c>
      <c r="U5" s="40">
        <f>tblCATGENERAL[[#This Row],[Precio habitual sin descuento IVA INCLUIDO]]-tblCATGENERAL[[#This Row],[Precio unitario con descuento 2026
IVA INCLUIDO]]</f>
        <v>0</v>
      </c>
      <c r="V5" s="40" t="str">
        <f>IFERROR(tblCATGENERAL[[#This Row],[Unidades de demanda]]*tblCATGENERAL[[#This Row],[Pérdida unitaria de ingresos]],"")</f>
        <v/>
      </c>
      <c r="W5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6" spans="1:23" x14ac:dyDescent="0.35">
      <c r="A6" s="15"/>
      <c r="B6" s="19"/>
      <c r="C6" s="19"/>
      <c r="D6" s="20"/>
      <c r="E6" s="62"/>
      <c r="F6" s="62"/>
      <c r="G6" s="61">
        <f t="shared" si="0"/>
        <v>0.2</v>
      </c>
      <c r="H6" s="57"/>
      <c r="I6" s="58"/>
      <c r="J6" s="54"/>
      <c r="K6" s="37" t="str" cm="1">
        <f t="array" ref="K6">IF(OR(B6="",C6=""),"",_xlfn.IFS(
AND(B6="Abono",C6="Propio"),"N.º de unidades vendidas",
AND(B6="Abono",C6="Integrado"),"N.º de unidades vendidas x % medio de utilización",
AND(B6="Tít. multiviaje",C6="Propio"),"N.º de unidades vendidas",
AND(B6="Tít. multiviaje",C6="Integrado"),"N.º de unidades vendidas x % medio de utilización",
AND(B6="T. monedero I",C6="Propio"),"N.º de cargas de crédito aplicadas",
AND(B6="T. monedero I",C6="Integrado"),"N.º de cargas de crédito aplicadas x % medio de utilización",
AND(B6="T. monedero II",C6="Propio"),"N.º de validaciones",
AND(B6="T. monedero II",C6="Integrado"),"N.º de validaciones"
))</f>
        <v/>
      </c>
      <c r="L6" s="26"/>
      <c r="M6" s="29"/>
      <c r="N6" s="17"/>
      <c r="O6" s="37" t="str">
        <f>IFERROR((tblCATGENERAL[[#This Row],[Estimación demanda 2025]]-tblCATGENERAL[[#This Row],[Estimación demanda 2024]])/tblCATGENERAL[[#This Row],[Estimación demanda 2024]],"")</f>
        <v/>
      </c>
      <c r="P6" s="38" t="str">
        <f>IFERROR(tblCATGENERAL[[#This Row],[Estimación demanda 2025]]*(1+tblCATGENERAL[[#This Row],[Variación interanual 2024-2025]]),"")</f>
        <v/>
      </c>
      <c r="Q6" s="28"/>
      <c r="R6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6" s="23"/>
      <c r="T6" s="37" t="str">
        <f>IFERROR(IF(OR(C6="Propio",AND(C6="Integrado",B6="T. monedero II")),tblCATGENERAL[[#This Row],[Estimación demanda 2026]],tblCATGENERAL[[#This Row],[Estimación demanda 2026]]*tblCATGENERAL[[#This Row],[% medio utilización]]),"")</f>
        <v/>
      </c>
      <c r="U6" s="40">
        <f>tblCATGENERAL[[#This Row],[Precio habitual sin descuento IVA INCLUIDO]]-tblCATGENERAL[[#This Row],[Precio unitario con descuento 2026
IVA INCLUIDO]]</f>
        <v>0</v>
      </c>
      <c r="V6" s="40" t="str">
        <f>IFERROR(tblCATGENERAL[[#This Row],[Unidades de demanda]]*tblCATGENERAL[[#This Row],[Pérdida unitaria de ingresos]],"")</f>
        <v/>
      </c>
      <c r="W6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7" spans="1:23" x14ac:dyDescent="0.35">
      <c r="A7" s="15"/>
      <c r="B7" s="19"/>
      <c r="C7" s="19"/>
      <c r="D7" s="20"/>
      <c r="E7" s="62"/>
      <c r="F7" s="62"/>
      <c r="G7" s="61">
        <f t="shared" si="0"/>
        <v>0.2</v>
      </c>
      <c r="H7" s="57"/>
      <c r="I7" s="58"/>
      <c r="J7" s="54"/>
      <c r="K7" s="37" t="str" cm="1">
        <f t="array" ref="K7">IF(OR(B7="",C7=""),"",_xlfn.IFS(
AND(B7="Abono",C7="Propio"),"N.º de unidades vendidas",
AND(B7="Abono",C7="Integrado"),"N.º de unidades vendidas x % medio de utilización",
AND(B7="Tít. multiviaje",C7="Propio"),"N.º de unidades vendidas",
AND(B7="Tít. multiviaje",C7="Integrado"),"N.º de unidades vendidas x % medio de utilización",
AND(B7="T. monedero I",C7="Propio"),"N.º de cargas de crédito aplicadas",
AND(B7="T. monedero I",C7="Integrado"),"N.º de cargas de crédito aplicadas x % medio de utilización",
AND(B7="T. monedero II",C7="Propio"),"N.º de validaciones",
AND(B7="T. monedero II",C7="Integrado"),"N.º de validaciones"
))</f>
        <v/>
      </c>
      <c r="L7" s="26"/>
      <c r="M7" s="29"/>
      <c r="N7" s="17"/>
      <c r="O7" s="37" t="str">
        <f>IFERROR((tblCATGENERAL[[#This Row],[Estimación demanda 2025]]-tblCATGENERAL[[#This Row],[Estimación demanda 2024]])/tblCATGENERAL[[#This Row],[Estimación demanda 2024]],"")</f>
        <v/>
      </c>
      <c r="P7" s="38" t="str">
        <f>IFERROR(tblCATGENERAL[[#This Row],[Estimación demanda 2025]]*(1+tblCATGENERAL[[#This Row],[Variación interanual 2024-2025]]),"")</f>
        <v/>
      </c>
      <c r="Q7" s="28"/>
      <c r="R7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7" s="23"/>
      <c r="T7" s="37" t="str">
        <f>IFERROR(IF(OR(C7="Propio",AND(C7="Integrado",B7="T. monedero II")),tblCATGENERAL[[#This Row],[Estimación demanda 2026]],tblCATGENERAL[[#This Row],[Estimación demanda 2026]]*tblCATGENERAL[[#This Row],[% medio utilización]]),"")</f>
        <v/>
      </c>
      <c r="U7" s="40">
        <f>tblCATGENERAL[[#This Row],[Precio habitual sin descuento IVA INCLUIDO]]-tblCATGENERAL[[#This Row],[Precio unitario con descuento 2026
IVA INCLUIDO]]</f>
        <v>0</v>
      </c>
      <c r="V7" s="40" t="str">
        <f>IFERROR(tblCATGENERAL[[#This Row],[Unidades de demanda]]*tblCATGENERAL[[#This Row],[Pérdida unitaria de ingresos]],"")</f>
        <v/>
      </c>
      <c r="W7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8" spans="1:23" x14ac:dyDescent="0.35">
      <c r="A8" s="15"/>
      <c r="B8" s="19"/>
      <c r="C8" s="19"/>
      <c r="D8" s="20"/>
      <c r="E8" s="62"/>
      <c r="F8" s="62"/>
      <c r="G8" s="61">
        <f t="shared" si="0"/>
        <v>0.2</v>
      </c>
      <c r="H8" s="57"/>
      <c r="I8" s="58"/>
      <c r="J8" s="54"/>
      <c r="K8" s="37" t="str" cm="1">
        <f t="array" ref="K8">IF(OR(B8="",C8=""),"",_xlfn.IFS(
AND(B8="Abono",C8="Propio"),"N.º de unidades vendidas",
AND(B8="Abono",C8="Integrado"),"N.º de unidades vendidas x % medio de utilización",
AND(B8="Tít. multiviaje",C8="Propio"),"N.º de unidades vendidas",
AND(B8="Tít. multiviaje",C8="Integrado"),"N.º de unidades vendidas x % medio de utilización",
AND(B8="T. monedero I",C8="Propio"),"N.º de cargas de crédito aplicadas",
AND(B8="T. monedero I",C8="Integrado"),"N.º de cargas de crédito aplicadas x % medio de utilización",
AND(B8="T. monedero II",C8="Propio"),"N.º de validaciones",
AND(B8="T. monedero II",C8="Integrado"),"N.º de validaciones"
))</f>
        <v/>
      </c>
      <c r="L8" s="26"/>
      <c r="M8" s="29"/>
      <c r="N8" s="17"/>
      <c r="O8" s="37" t="str">
        <f>IFERROR((tblCATGENERAL[[#This Row],[Estimación demanda 2025]]-tblCATGENERAL[[#This Row],[Estimación demanda 2024]])/tblCATGENERAL[[#This Row],[Estimación demanda 2024]],"")</f>
        <v/>
      </c>
      <c r="P8" s="38" t="str">
        <f>IFERROR(tblCATGENERAL[[#This Row],[Estimación demanda 2025]]*(1+tblCATGENERAL[[#This Row],[Variación interanual 2024-2025]]),"")</f>
        <v/>
      </c>
      <c r="Q8" s="28"/>
      <c r="R8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8" s="23"/>
      <c r="T8" s="37" t="str">
        <f>IFERROR(IF(OR(C8="Propio",AND(C8="Integrado",B8="T. monedero II")),tblCATGENERAL[[#This Row],[Estimación demanda 2026]],tblCATGENERAL[[#This Row],[Estimación demanda 2026]]*tblCATGENERAL[[#This Row],[% medio utilización]]),"")</f>
        <v/>
      </c>
      <c r="U8" s="40">
        <f>tblCATGENERAL[[#This Row],[Precio habitual sin descuento IVA INCLUIDO]]-tblCATGENERAL[[#This Row],[Precio unitario con descuento 2026
IVA INCLUIDO]]</f>
        <v>0</v>
      </c>
      <c r="V8" s="40" t="str">
        <f>IFERROR(tblCATGENERAL[[#This Row],[Unidades de demanda]]*tblCATGENERAL[[#This Row],[Pérdida unitaria de ingresos]],"")</f>
        <v/>
      </c>
      <c r="W8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9" spans="1:23" x14ac:dyDescent="0.35">
      <c r="A9" s="15"/>
      <c r="B9" s="19"/>
      <c r="C9" s="19"/>
      <c r="D9" s="20"/>
      <c r="E9" s="62"/>
      <c r="F9" s="62"/>
      <c r="G9" s="61">
        <f t="shared" si="0"/>
        <v>0.2</v>
      </c>
      <c r="H9" s="57"/>
      <c r="I9" s="58"/>
      <c r="J9" s="54"/>
      <c r="K9" s="37" t="str" cm="1">
        <f t="array" ref="K9">IF(OR(B9="",C9=""),"",_xlfn.IFS(
AND(B9="Abono",C9="Propio"),"N.º de unidades vendidas",
AND(B9="Abono",C9="Integrado"),"N.º de unidades vendidas x % medio de utilización",
AND(B9="Tít. multiviaje",C9="Propio"),"N.º de unidades vendidas",
AND(B9="Tít. multiviaje",C9="Integrado"),"N.º de unidades vendidas x % medio de utilización",
AND(B9="T. monedero I",C9="Propio"),"N.º de cargas de crédito aplicadas",
AND(B9="T. monedero I",C9="Integrado"),"N.º de cargas de crédito aplicadas x % medio de utilización",
AND(B9="T. monedero II",C9="Propio"),"N.º de validaciones",
AND(B9="T. monedero II",C9="Integrado"),"N.º de validaciones"
))</f>
        <v/>
      </c>
      <c r="L9" s="26"/>
      <c r="M9" s="29"/>
      <c r="N9" s="17"/>
      <c r="O9" s="37" t="str">
        <f>IFERROR((tblCATGENERAL[[#This Row],[Estimación demanda 2025]]-tblCATGENERAL[[#This Row],[Estimación demanda 2024]])/tblCATGENERAL[[#This Row],[Estimación demanda 2024]],"")</f>
        <v/>
      </c>
      <c r="P9" s="38" t="str">
        <f>IFERROR(tblCATGENERAL[[#This Row],[Estimación demanda 2025]]*(1+tblCATGENERAL[[#This Row],[Variación interanual 2024-2025]]),"")</f>
        <v/>
      </c>
      <c r="Q9" s="28"/>
      <c r="R9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9" s="23"/>
      <c r="T9" s="37" t="str">
        <f>IFERROR(IF(OR(C9="Propio",AND(C9="Integrado",B9="T. monedero II")),tblCATGENERAL[[#This Row],[Estimación demanda 2026]],tblCATGENERAL[[#This Row],[Estimación demanda 2026]]*tblCATGENERAL[[#This Row],[% medio utilización]]),"")</f>
        <v/>
      </c>
      <c r="U9" s="40">
        <f>tblCATGENERAL[[#This Row],[Precio habitual sin descuento IVA INCLUIDO]]-tblCATGENERAL[[#This Row],[Precio unitario con descuento 2026
IVA INCLUIDO]]</f>
        <v>0</v>
      </c>
      <c r="V9" s="40" t="str">
        <f>IFERROR(tblCATGENERAL[[#This Row],[Unidades de demanda]]*tblCATGENERAL[[#This Row],[Pérdida unitaria de ingresos]],"")</f>
        <v/>
      </c>
      <c r="W9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10" spans="1:23" x14ac:dyDescent="0.35">
      <c r="A10" s="15"/>
      <c r="B10" s="19"/>
      <c r="C10" s="19"/>
      <c r="D10" s="20"/>
      <c r="E10" s="62"/>
      <c r="F10" s="62"/>
      <c r="G10" s="61">
        <f t="shared" si="0"/>
        <v>0.2</v>
      </c>
      <c r="H10" s="57"/>
      <c r="I10" s="58"/>
      <c r="J10" s="54"/>
      <c r="K10" s="37" t="str" cm="1">
        <f t="array" ref="K10">IF(OR(B10="",C10=""),"",_xlfn.IFS(
AND(B10="Abono",C10="Propio"),"N.º de unidades vendidas",
AND(B10="Abono",C10="Integrado"),"N.º de unidades vendidas x % medio de utilización",
AND(B10="Tít. multiviaje",C10="Propio"),"N.º de unidades vendidas",
AND(B10="Tít. multiviaje",C10="Integrado"),"N.º de unidades vendidas x % medio de utilización",
AND(B10="T. monedero I",C10="Propio"),"N.º de cargas de crédito aplicadas",
AND(B10="T. monedero I",C10="Integrado"),"N.º de cargas de crédito aplicadas x % medio de utilización",
AND(B10="T. monedero II",C10="Propio"),"N.º de validaciones",
AND(B10="T. monedero II",C10="Integrado"),"N.º de validaciones"
))</f>
        <v/>
      </c>
      <c r="L10" s="26"/>
      <c r="M10" s="29"/>
      <c r="N10" s="17"/>
      <c r="O10" s="37" t="str">
        <f>IFERROR((tblCATGENERAL[[#This Row],[Estimación demanda 2025]]-tblCATGENERAL[[#This Row],[Estimación demanda 2024]])/tblCATGENERAL[[#This Row],[Estimación demanda 2024]],"")</f>
        <v/>
      </c>
      <c r="P10" s="38" t="str">
        <f>IFERROR(tblCATGENERAL[[#This Row],[Estimación demanda 2025]]*(1+tblCATGENERAL[[#This Row],[Variación interanual 2024-2025]]),"")</f>
        <v/>
      </c>
      <c r="Q10" s="28"/>
      <c r="R10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10" s="23"/>
      <c r="T10" s="37" t="str">
        <f>IFERROR(IF(OR(C10="Propio",AND(C10="Integrado",B10="T. monedero II")),tblCATGENERAL[[#This Row],[Estimación demanda 2026]],tblCATGENERAL[[#This Row],[Estimación demanda 2026]]*tblCATGENERAL[[#This Row],[% medio utilización]]),"")</f>
        <v/>
      </c>
      <c r="U10" s="40">
        <f>tblCATGENERAL[[#This Row],[Precio habitual sin descuento IVA INCLUIDO]]-tblCATGENERAL[[#This Row],[Precio unitario con descuento 2026
IVA INCLUIDO]]</f>
        <v>0</v>
      </c>
      <c r="V10" s="40" t="str">
        <f>IFERROR(tblCATGENERAL[[#This Row],[Unidades de demanda]]*tblCATGENERAL[[#This Row],[Pérdida unitaria de ingresos]],"")</f>
        <v/>
      </c>
      <c r="W10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11" spans="1:23" x14ac:dyDescent="0.35">
      <c r="A11" s="15"/>
      <c r="B11" s="19"/>
      <c r="C11" s="19"/>
      <c r="D11" s="20"/>
      <c r="E11" s="62"/>
      <c r="F11" s="62"/>
      <c r="G11" s="61">
        <f t="shared" si="0"/>
        <v>0.2</v>
      </c>
      <c r="H11" s="57"/>
      <c r="I11" s="58"/>
      <c r="J11" s="54"/>
      <c r="K11" s="37" t="str" cm="1">
        <f t="array" ref="K11">IF(OR(B11="",C11=""),"",_xlfn.IFS(
AND(B11="Abono",C11="Propio"),"N.º de unidades vendidas",
AND(B11="Abono",C11="Integrado"),"N.º de unidades vendidas x % medio de utilización",
AND(B11="Tít. multiviaje",C11="Propio"),"N.º de unidades vendidas",
AND(B11="Tít. multiviaje",C11="Integrado"),"N.º de unidades vendidas x % medio de utilización",
AND(B11="T. monedero I",C11="Propio"),"N.º de cargas de crédito aplicadas",
AND(B11="T. monedero I",C11="Integrado"),"N.º de cargas de crédito aplicadas x % medio de utilización",
AND(B11="T. monedero II",C11="Propio"),"N.º de validaciones",
AND(B11="T. monedero II",C11="Integrado"),"N.º de validaciones"
))</f>
        <v/>
      </c>
      <c r="L11" s="26"/>
      <c r="M11" s="29"/>
      <c r="N11" s="17"/>
      <c r="O11" s="37" t="str">
        <f>IFERROR((tblCATGENERAL[[#This Row],[Estimación demanda 2025]]-tblCATGENERAL[[#This Row],[Estimación demanda 2024]])/tblCATGENERAL[[#This Row],[Estimación demanda 2024]],"")</f>
        <v/>
      </c>
      <c r="P11" s="38" t="str">
        <f>IFERROR(tblCATGENERAL[[#This Row],[Estimación demanda 2025]]*(1+tblCATGENERAL[[#This Row],[Variación interanual 2024-2025]]),"")</f>
        <v/>
      </c>
      <c r="Q11" s="28"/>
      <c r="R11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11" s="23"/>
      <c r="T11" s="37" t="str">
        <f>IFERROR(IF(OR(C11="Propio",AND(C11="Integrado",B11="T. monedero II")),tblCATGENERAL[[#This Row],[Estimación demanda 2026]],tblCATGENERAL[[#This Row],[Estimación demanda 2026]]*tblCATGENERAL[[#This Row],[% medio utilización]]),"")</f>
        <v/>
      </c>
      <c r="U11" s="40">
        <f>tblCATGENERAL[[#This Row],[Precio habitual sin descuento IVA INCLUIDO]]-tblCATGENERAL[[#This Row],[Precio unitario con descuento 2026
IVA INCLUIDO]]</f>
        <v>0</v>
      </c>
      <c r="V11" s="40" t="str">
        <f>IFERROR(tblCATGENERAL[[#This Row],[Unidades de demanda]]*tblCATGENERAL[[#This Row],[Pérdida unitaria de ingresos]],"")</f>
        <v/>
      </c>
      <c r="W11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12" spans="1:23" x14ac:dyDescent="0.35">
      <c r="A12" s="15"/>
      <c r="B12" s="19"/>
      <c r="C12" s="19"/>
      <c r="D12" s="20"/>
      <c r="E12" s="62"/>
      <c r="F12" s="62"/>
      <c r="G12" s="61">
        <f t="shared" si="0"/>
        <v>0.2</v>
      </c>
      <c r="H12" s="57"/>
      <c r="I12" s="58"/>
      <c r="J12" s="54"/>
      <c r="K12" s="37" t="str" cm="1">
        <f t="array" ref="K12">IF(OR(B12="",C12=""),"",_xlfn.IFS(
AND(B12="Abono",C12="Propio"),"N.º de unidades vendidas",
AND(B12="Abono",C12="Integrado"),"N.º de unidades vendidas x % medio de utilización",
AND(B12="Tít. multiviaje",C12="Propio"),"N.º de unidades vendidas",
AND(B12="Tít. multiviaje",C12="Integrado"),"N.º de unidades vendidas x % medio de utilización",
AND(B12="T. monedero I",C12="Propio"),"N.º de cargas de crédito aplicadas",
AND(B12="T. monedero I",C12="Integrado"),"N.º de cargas de crédito aplicadas x % medio de utilización",
AND(B12="T. monedero II",C12="Propio"),"N.º de validaciones",
AND(B12="T. monedero II",C12="Integrado"),"N.º de validaciones"
))</f>
        <v/>
      </c>
      <c r="L12" s="26"/>
      <c r="M12" s="29"/>
      <c r="N12" s="17"/>
      <c r="O12" s="37" t="str">
        <f>IFERROR((tblCATGENERAL[[#This Row],[Estimación demanda 2025]]-tblCATGENERAL[[#This Row],[Estimación demanda 2024]])/tblCATGENERAL[[#This Row],[Estimación demanda 2024]],"")</f>
        <v/>
      </c>
      <c r="P12" s="38" t="str">
        <f>IFERROR(tblCATGENERAL[[#This Row],[Estimación demanda 2025]]*(1+tblCATGENERAL[[#This Row],[Variación interanual 2024-2025]]),"")</f>
        <v/>
      </c>
      <c r="Q12" s="28"/>
      <c r="R12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12" s="23"/>
      <c r="T12" s="37" t="str">
        <f>IFERROR(IF(OR(C12="Propio",AND(C12="Integrado",B12="T. monedero II")),tblCATGENERAL[[#This Row],[Estimación demanda 2026]],tblCATGENERAL[[#This Row],[Estimación demanda 2026]]*tblCATGENERAL[[#This Row],[% medio utilización]]),"")</f>
        <v/>
      </c>
      <c r="U12" s="40">
        <f>tblCATGENERAL[[#This Row],[Precio habitual sin descuento IVA INCLUIDO]]-tblCATGENERAL[[#This Row],[Precio unitario con descuento 2026
IVA INCLUIDO]]</f>
        <v>0</v>
      </c>
      <c r="V12" s="40" t="str">
        <f>IFERROR(tblCATGENERAL[[#This Row],[Unidades de demanda]]*tblCATGENERAL[[#This Row],[Pérdida unitaria de ingresos]],"")</f>
        <v/>
      </c>
      <c r="W12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13" spans="1:23" x14ac:dyDescent="0.35">
      <c r="A13" s="15"/>
      <c r="B13" s="19"/>
      <c r="C13" s="19"/>
      <c r="D13" s="20"/>
      <c r="E13" s="62"/>
      <c r="F13" s="62"/>
      <c r="G13" s="61">
        <f t="shared" si="0"/>
        <v>0.2</v>
      </c>
      <c r="H13" s="57"/>
      <c r="I13" s="58"/>
      <c r="J13" s="54"/>
      <c r="K13" s="37" t="str" cm="1">
        <f t="array" ref="K13">IF(OR(B13="",C13=""),"",_xlfn.IFS(
AND(B13="Abono",C13="Propio"),"N.º de unidades vendidas",
AND(B13="Abono",C13="Integrado"),"N.º de unidades vendidas x % medio de utilización",
AND(B13="Tít. multiviaje",C13="Propio"),"N.º de unidades vendidas",
AND(B13="Tít. multiviaje",C13="Integrado"),"N.º de unidades vendidas x % medio de utilización",
AND(B13="T. monedero I",C13="Propio"),"N.º de cargas de crédito aplicadas",
AND(B13="T. monedero I",C13="Integrado"),"N.º de cargas de crédito aplicadas x % medio de utilización",
AND(B13="T. monedero II",C13="Propio"),"N.º de validaciones",
AND(B13="T. monedero II",C13="Integrado"),"N.º de validaciones"
))</f>
        <v/>
      </c>
      <c r="L13" s="26"/>
      <c r="M13" s="29"/>
      <c r="N13" s="17"/>
      <c r="O13" s="37" t="str">
        <f>IFERROR((tblCATGENERAL[[#This Row],[Estimación demanda 2025]]-tblCATGENERAL[[#This Row],[Estimación demanda 2024]])/tblCATGENERAL[[#This Row],[Estimación demanda 2024]],"")</f>
        <v/>
      </c>
      <c r="P13" s="38" t="str">
        <f>IFERROR(tblCATGENERAL[[#This Row],[Estimación demanda 2025]]*(1+tblCATGENERAL[[#This Row],[Variación interanual 2024-2025]]),"")</f>
        <v/>
      </c>
      <c r="Q13" s="28"/>
      <c r="R13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13" s="23"/>
      <c r="T13" s="37" t="str">
        <f>IFERROR(IF(OR(C13="Propio",AND(C13="Integrado",B13="T. monedero II")),tblCATGENERAL[[#This Row],[Estimación demanda 2026]],tblCATGENERAL[[#This Row],[Estimación demanda 2026]]*tblCATGENERAL[[#This Row],[% medio utilización]]),"")</f>
        <v/>
      </c>
      <c r="U13" s="40">
        <f>tblCATGENERAL[[#This Row],[Precio habitual sin descuento IVA INCLUIDO]]-tblCATGENERAL[[#This Row],[Precio unitario con descuento 2026
IVA INCLUIDO]]</f>
        <v>0</v>
      </c>
      <c r="V13" s="40" t="str">
        <f>IFERROR(tblCATGENERAL[[#This Row],[Unidades de demanda]]*tblCATGENERAL[[#This Row],[Pérdida unitaria de ingresos]],"")</f>
        <v/>
      </c>
      <c r="W13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14" spans="1:23" x14ac:dyDescent="0.35">
      <c r="A14" s="15"/>
      <c r="B14" s="19"/>
      <c r="C14" s="19"/>
      <c r="D14" s="20"/>
      <c r="E14" s="62"/>
      <c r="F14" s="62"/>
      <c r="G14" s="61">
        <f t="shared" si="0"/>
        <v>0.2</v>
      </c>
      <c r="H14" s="57"/>
      <c r="I14" s="58"/>
      <c r="J14" s="54"/>
      <c r="K14" s="37" t="str" cm="1">
        <f t="array" ref="K14">IF(OR(B14="",C14=""),"",_xlfn.IFS(
AND(B14="Abono",C14="Propio"),"N.º de unidades vendidas",
AND(B14="Abono",C14="Integrado"),"N.º de unidades vendidas x % medio de utilización",
AND(B14="Tít. multiviaje",C14="Propio"),"N.º de unidades vendidas",
AND(B14="Tít. multiviaje",C14="Integrado"),"N.º de unidades vendidas x % medio de utilización",
AND(B14="T. monedero I",C14="Propio"),"N.º de cargas de crédito aplicadas",
AND(B14="T. monedero I",C14="Integrado"),"N.º de cargas de crédito aplicadas x % medio de utilización",
AND(B14="T. monedero II",C14="Propio"),"N.º de validaciones",
AND(B14="T. monedero II",C14="Integrado"),"N.º de validaciones"
))</f>
        <v/>
      </c>
      <c r="L14" s="26"/>
      <c r="M14" s="29"/>
      <c r="N14" s="17"/>
      <c r="O14" s="37" t="str">
        <f>IFERROR((tblCATGENERAL[[#This Row],[Estimación demanda 2025]]-tblCATGENERAL[[#This Row],[Estimación demanda 2024]])/tblCATGENERAL[[#This Row],[Estimación demanda 2024]],"")</f>
        <v/>
      </c>
      <c r="P14" s="38" t="str">
        <f>IFERROR(tblCATGENERAL[[#This Row],[Estimación demanda 2025]]*(1+tblCATGENERAL[[#This Row],[Variación interanual 2024-2025]]),"")</f>
        <v/>
      </c>
      <c r="Q14" s="28"/>
      <c r="R14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14" s="23"/>
      <c r="T14" s="37" t="str">
        <f>IFERROR(IF(OR(C14="Propio",AND(C14="Integrado",B14="T. monedero II")),tblCATGENERAL[[#This Row],[Estimación demanda 2026]],tblCATGENERAL[[#This Row],[Estimación demanda 2026]]*tblCATGENERAL[[#This Row],[% medio utilización]]),"")</f>
        <v/>
      </c>
      <c r="U14" s="40">
        <f>tblCATGENERAL[[#This Row],[Precio habitual sin descuento IVA INCLUIDO]]-tblCATGENERAL[[#This Row],[Precio unitario con descuento 2026
IVA INCLUIDO]]</f>
        <v>0</v>
      </c>
      <c r="V14" s="40" t="str">
        <f>IFERROR(tblCATGENERAL[[#This Row],[Unidades de demanda]]*tblCATGENERAL[[#This Row],[Pérdida unitaria de ingresos]],"")</f>
        <v/>
      </c>
      <c r="W14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15" spans="1:23" x14ac:dyDescent="0.35">
      <c r="A15" s="15"/>
      <c r="B15" s="19"/>
      <c r="C15" s="19"/>
      <c r="D15" s="20"/>
      <c r="E15" s="62"/>
      <c r="F15" s="62"/>
      <c r="G15" s="61">
        <f t="shared" si="0"/>
        <v>0.2</v>
      </c>
      <c r="H15" s="57"/>
      <c r="I15" s="58"/>
      <c r="J15" s="54"/>
      <c r="K15" s="37" t="str" cm="1">
        <f t="array" ref="K15">IF(OR(B15="",C15=""),"",_xlfn.IFS(
AND(B15="Abono",C15="Propio"),"N.º de unidades vendidas",
AND(B15="Abono",C15="Integrado"),"N.º de unidades vendidas x % medio de utilización",
AND(B15="Tít. multiviaje",C15="Propio"),"N.º de unidades vendidas",
AND(B15="Tít. multiviaje",C15="Integrado"),"N.º de unidades vendidas x % medio de utilización",
AND(B15="T. monedero I",C15="Propio"),"N.º de cargas de crédito aplicadas",
AND(B15="T. monedero I",C15="Integrado"),"N.º de cargas de crédito aplicadas x % medio de utilización",
AND(B15="T. monedero II",C15="Propio"),"N.º de validaciones",
AND(B15="T. monedero II",C15="Integrado"),"N.º de validaciones"
))</f>
        <v/>
      </c>
      <c r="L15" s="26"/>
      <c r="M15" s="29"/>
      <c r="N15" s="17"/>
      <c r="O15" s="37" t="str">
        <f>IFERROR((tblCATGENERAL[[#This Row],[Estimación demanda 2025]]-tblCATGENERAL[[#This Row],[Estimación demanda 2024]])/tblCATGENERAL[[#This Row],[Estimación demanda 2024]],"")</f>
        <v/>
      </c>
      <c r="P15" s="38" t="str">
        <f>IFERROR(tblCATGENERAL[[#This Row],[Estimación demanda 2025]]*(1+tblCATGENERAL[[#This Row],[Variación interanual 2024-2025]]),"")</f>
        <v/>
      </c>
      <c r="Q15" s="28"/>
      <c r="R15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15" s="23"/>
      <c r="T15" s="37" t="str">
        <f>IFERROR(IF(OR(C15="Propio",AND(C15="Integrado",B15="T. monedero II")),tblCATGENERAL[[#This Row],[Estimación demanda 2026]],tblCATGENERAL[[#This Row],[Estimación demanda 2026]]*tblCATGENERAL[[#This Row],[% medio utilización]]),"")</f>
        <v/>
      </c>
      <c r="U15" s="40">
        <f>tblCATGENERAL[[#This Row],[Precio habitual sin descuento IVA INCLUIDO]]-tblCATGENERAL[[#This Row],[Precio unitario con descuento 2026
IVA INCLUIDO]]</f>
        <v>0</v>
      </c>
      <c r="V15" s="40" t="str">
        <f>IFERROR(tblCATGENERAL[[#This Row],[Unidades de demanda]]*tblCATGENERAL[[#This Row],[Pérdida unitaria de ingresos]],"")</f>
        <v/>
      </c>
      <c r="W15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16" spans="1:23" x14ac:dyDescent="0.35">
      <c r="A16" s="15"/>
      <c r="B16" s="19"/>
      <c r="C16" s="19"/>
      <c r="D16" s="20"/>
      <c r="E16" s="62"/>
      <c r="F16" s="62"/>
      <c r="G16" s="61">
        <f t="shared" si="0"/>
        <v>0.2</v>
      </c>
      <c r="H16" s="57"/>
      <c r="I16" s="58"/>
      <c r="J16" s="54"/>
      <c r="K16" s="37" t="str" cm="1">
        <f t="array" ref="K16">IF(OR(B16="",C16=""),"",_xlfn.IFS(
AND(B16="Abono",C16="Propio"),"N.º de unidades vendidas",
AND(B16="Abono",C16="Integrado"),"N.º de unidades vendidas x % medio de utilización",
AND(B16="Tít. multiviaje",C16="Propio"),"N.º de unidades vendidas",
AND(B16="Tít. multiviaje",C16="Integrado"),"N.º de unidades vendidas x % medio de utilización",
AND(B16="T. monedero I",C16="Propio"),"N.º de cargas de crédito aplicadas",
AND(B16="T. monedero I",C16="Integrado"),"N.º de cargas de crédito aplicadas x % medio de utilización",
AND(B16="T. monedero II",C16="Propio"),"N.º de validaciones",
AND(B16="T. monedero II",C16="Integrado"),"N.º de validaciones"
))</f>
        <v/>
      </c>
      <c r="L16" s="26"/>
      <c r="M16" s="29"/>
      <c r="N16" s="17"/>
      <c r="O16" s="37" t="str">
        <f>IFERROR((tblCATGENERAL[[#This Row],[Estimación demanda 2025]]-tblCATGENERAL[[#This Row],[Estimación demanda 2024]])/tblCATGENERAL[[#This Row],[Estimación demanda 2024]],"")</f>
        <v/>
      </c>
      <c r="P16" s="38" t="str">
        <f>IFERROR(tblCATGENERAL[[#This Row],[Estimación demanda 2025]]*(1+tblCATGENERAL[[#This Row],[Variación interanual 2024-2025]]),"")</f>
        <v/>
      </c>
      <c r="Q16" s="28"/>
      <c r="R16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16" s="23"/>
      <c r="T16" s="37" t="str">
        <f>IFERROR(IF(OR(C16="Propio",AND(C16="Integrado",B16="T. monedero II")),tblCATGENERAL[[#This Row],[Estimación demanda 2026]],tblCATGENERAL[[#This Row],[Estimación demanda 2026]]*tblCATGENERAL[[#This Row],[% medio utilización]]),"")</f>
        <v/>
      </c>
      <c r="U16" s="40">
        <f>tblCATGENERAL[[#This Row],[Precio habitual sin descuento IVA INCLUIDO]]-tblCATGENERAL[[#This Row],[Precio unitario con descuento 2026
IVA INCLUIDO]]</f>
        <v>0</v>
      </c>
      <c r="V16" s="40" t="str">
        <f>IFERROR(tblCATGENERAL[[#This Row],[Unidades de demanda]]*tblCATGENERAL[[#This Row],[Pérdida unitaria de ingresos]],"")</f>
        <v/>
      </c>
      <c r="W16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17" spans="1:23" x14ac:dyDescent="0.35">
      <c r="A17" s="15"/>
      <c r="B17" s="19"/>
      <c r="C17" s="19"/>
      <c r="D17" s="20"/>
      <c r="E17" s="62"/>
      <c r="F17" s="62"/>
      <c r="G17" s="61">
        <f t="shared" si="0"/>
        <v>0.2</v>
      </c>
      <c r="H17" s="57"/>
      <c r="I17" s="58"/>
      <c r="J17" s="54"/>
      <c r="K17" s="37" t="str" cm="1">
        <f t="array" ref="K17">IF(OR(B17="",C17=""),"",_xlfn.IFS(
AND(B17="Abono",C17="Propio"),"N.º de unidades vendidas",
AND(B17="Abono",C17="Integrado"),"N.º de unidades vendidas x % medio de utilización",
AND(B17="Tít. multiviaje",C17="Propio"),"N.º de unidades vendidas",
AND(B17="Tít. multiviaje",C17="Integrado"),"N.º de unidades vendidas x % medio de utilización",
AND(B17="T. monedero I",C17="Propio"),"N.º de cargas de crédito aplicadas",
AND(B17="T. monedero I",C17="Integrado"),"N.º de cargas de crédito aplicadas x % medio de utilización",
AND(B17="T. monedero II",C17="Propio"),"N.º de validaciones",
AND(B17="T. monedero II",C17="Integrado"),"N.º de validaciones"
))</f>
        <v/>
      </c>
      <c r="L17" s="26"/>
      <c r="M17" s="29"/>
      <c r="N17" s="17"/>
      <c r="O17" s="37" t="str">
        <f>IFERROR((tblCATGENERAL[[#This Row],[Estimación demanda 2025]]-tblCATGENERAL[[#This Row],[Estimación demanda 2024]])/tblCATGENERAL[[#This Row],[Estimación demanda 2024]],"")</f>
        <v/>
      </c>
      <c r="P17" s="38" t="str">
        <f>IFERROR(tblCATGENERAL[[#This Row],[Estimación demanda 2025]]*(1+tblCATGENERAL[[#This Row],[Variación interanual 2024-2025]]),"")</f>
        <v/>
      </c>
      <c r="Q17" s="28"/>
      <c r="R17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17" s="23"/>
      <c r="T17" s="37" t="str">
        <f>IFERROR(IF(OR(C17="Propio",AND(C17="Integrado",B17="T. monedero II")),tblCATGENERAL[[#This Row],[Estimación demanda 2026]],tblCATGENERAL[[#This Row],[Estimación demanda 2026]]*tblCATGENERAL[[#This Row],[% medio utilización]]),"")</f>
        <v/>
      </c>
      <c r="U17" s="40">
        <f>tblCATGENERAL[[#This Row],[Precio habitual sin descuento IVA INCLUIDO]]-tblCATGENERAL[[#This Row],[Precio unitario con descuento 2026
IVA INCLUIDO]]</f>
        <v>0</v>
      </c>
      <c r="V17" s="40" t="str">
        <f>IFERROR(tblCATGENERAL[[#This Row],[Unidades de demanda]]*tblCATGENERAL[[#This Row],[Pérdida unitaria de ingresos]],"")</f>
        <v/>
      </c>
      <c r="W17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18" spans="1:23" x14ac:dyDescent="0.35">
      <c r="A18" s="15"/>
      <c r="B18" s="19"/>
      <c r="C18" s="19"/>
      <c r="D18" s="20"/>
      <c r="E18" s="62"/>
      <c r="F18" s="62"/>
      <c r="G18" s="61">
        <f t="shared" si="0"/>
        <v>0.2</v>
      </c>
      <c r="H18" s="57"/>
      <c r="I18" s="58"/>
      <c r="J18" s="54"/>
      <c r="K18" s="37" t="str" cm="1">
        <f t="array" ref="K18">IF(OR(B18="",C18=""),"",_xlfn.IFS(
AND(B18="Abono",C18="Propio"),"N.º de unidades vendidas",
AND(B18="Abono",C18="Integrado"),"N.º de unidades vendidas x % medio de utilización",
AND(B18="Tít. multiviaje",C18="Propio"),"N.º de unidades vendidas",
AND(B18="Tít. multiviaje",C18="Integrado"),"N.º de unidades vendidas x % medio de utilización",
AND(B18="T. monedero I",C18="Propio"),"N.º de cargas de crédito aplicadas",
AND(B18="T. monedero I",C18="Integrado"),"N.º de cargas de crédito aplicadas x % medio de utilización",
AND(B18="T. monedero II",C18="Propio"),"N.º de validaciones",
AND(B18="T. monedero II",C18="Integrado"),"N.º de validaciones"
))</f>
        <v/>
      </c>
      <c r="L18" s="26"/>
      <c r="M18" s="29"/>
      <c r="N18" s="17"/>
      <c r="O18" s="37" t="str">
        <f>IFERROR((tblCATGENERAL[[#This Row],[Estimación demanda 2025]]-tblCATGENERAL[[#This Row],[Estimación demanda 2024]])/tblCATGENERAL[[#This Row],[Estimación demanda 2024]],"")</f>
        <v/>
      </c>
      <c r="P18" s="38" t="str">
        <f>IFERROR(tblCATGENERAL[[#This Row],[Estimación demanda 2025]]*(1+tblCATGENERAL[[#This Row],[Variación interanual 2024-2025]]),"")</f>
        <v/>
      </c>
      <c r="Q18" s="28"/>
      <c r="R18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18" s="23"/>
      <c r="T18" s="37" t="str">
        <f>IFERROR(IF(OR(C18="Propio",AND(C18="Integrado",B18="T. monedero II")),tblCATGENERAL[[#This Row],[Estimación demanda 2026]],tblCATGENERAL[[#This Row],[Estimación demanda 2026]]*tblCATGENERAL[[#This Row],[% medio utilización]]),"")</f>
        <v/>
      </c>
      <c r="U18" s="40">
        <f>tblCATGENERAL[[#This Row],[Precio habitual sin descuento IVA INCLUIDO]]-tblCATGENERAL[[#This Row],[Precio unitario con descuento 2026
IVA INCLUIDO]]</f>
        <v>0</v>
      </c>
      <c r="V18" s="40" t="str">
        <f>IFERROR(tblCATGENERAL[[#This Row],[Unidades de demanda]]*tblCATGENERAL[[#This Row],[Pérdida unitaria de ingresos]],"")</f>
        <v/>
      </c>
      <c r="W18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19" spans="1:23" x14ac:dyDescent="0.35">
      <c r="A19" s="15"/>
      <c r="B19" s="19"/>
      <c r="C19" s="19"/>
      <c r="D19" s="20"/>
      <c r="E19" s="62"/>
      <c r="F19" s="62"/>
      <c r="G19" s="61">
        <f t="shared" si="0"/>
        <v>0.2</v>
      </c>
      <c r="H19" s="57"/>
      <c r="I19" s="58"/>
      <c r="J19" s="54"/>
      <c r="K19" s="37" t="str" cm="1">
        <f t="array" ref="K19">IF(OR(B19="",C19=""),"",_xlfn.IFS(
AND(B19="Abono",C19="Propio"),"N.º de unidades vendidas",
AND(B19="Abono",C19="Integrado"),"N.º de unidades vendidas x % medio de utilización",
AND(B19="Tít. multiviaje",C19="Propio"),"N.º de unidades vendidas",
AND(B19="Tít. multiviaje",C19="Integrado"),"N.º de unidades vendidas x % medio de utilización",
AND(B19="T. monedero I",C19="Propio"),"N.º de cargas de crédito aplicadas",
AND(B19="T. monedero I",C19="Integrado"),"N.º de cargas de crédito aplicadas x % medio de utilización",
AND(B19="T. monedero II",C19="Propio"),"N.º de validaciones",
AND(B19="T. monedero II",C19="Integrado"),"N.º de validaciones"
))</f>
        <v/>
      </c>
      <c r="L19" s="26"/>
      <c r="M19" s="29"/>
      <c r="N19" s="17"/>
      <c r="O19" s="37" t="str">
        <f>IFERROR((tblCATGENERAL[[#This Row],[Estimación demanda 2025]]-tblCATGENERAL[[#This Row],[Estimación demanda 2024]])/tblCATGENERAL[[#This Row],[Estimación demanda 2024]],"")</f>
        <v/>
      </c>
      <c r="P19" s="38" t="str">
        <f>IFERROR(tblCATGENERAL[[#This Row],[Estimación demanda 2025]]*(1+tblCATGENERAL[[#This Row],[Variación interanual 2024-2025]]),"")</f>
        <v/>
      </c>
      <c r="Q19" s="28"/>
      <c r="R19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19" s="23"/>
      <c r="T19" s="37" t="str">
        <f>IFERROR(IF(OR(C19="Propio",AND(C19="Integrado",B19="T. monedero II")),tblCATGENERAL[[#This Row],[Estimación demanda 2026]],tblCATGENERAL[[#This Row],[Estimación demanda 2026]]*tblCATGENERAL[[#This Row],[% medio utilización]]),"")</f>
        <v/>
      </c>
      <c r="U19" s="40">
        <f>tblCATGENERAL[[#This Row],[Precio habitual sin descuento IVA INCLUIDO]]-tblCATGENERAL[[#This Row],[Precio unitario con descuento 2026
IVA INCLUIDO]]</f>
        <v>0</v>
      </c>
      <c r="V19" s="40" t="str">
        <f>IFERROR(tblCATGENERAL[[#This Row],[Unidades de demanda]]*tblCATGENERAL[[#This Row],[Pérdida unitaria de ingresos]],"")</f>
        <v/>
      </c>
      <c r="W19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20" spans="1:23" x14ac:dyDescent="0.35">
      <c r="A20" s="15"/>
      <c r="B20" s="19"/>
      <c r="C20" s="19"/>
      <c r="D20" s="20"/>
      <c r="E20" s="62"/>
      <c r="F20" s="62"/>
      <c r="G20" s="61">
        <f t="shared" si="0"/>
        <v>0.2</v>
      </c>
      <c r="H20" s="57"/>
      <c r="I20" s="58"/>
      <c r="J20" s="54"/>
      <c r="K20" s="37" t="str" cm="1">
        <f t="array" ref="K20">IF(OR(B20="",C20=""),"",_xlfn.IFS(
AND(B20="Abono",C20="Propio"),"N.º de unidades vendidas",
AND(B20="Abono",C20="Integrado"),"N.º de unidades vendidas x % medio de utilización",
AND(B20="Tít. multiviaje",C20="Propio"),"N.º de unidades vendidas",
AND(B20="Tít. multiviaje",C20="Integrado"),"N.º de unidades vendidas x % medio de utilización",
AND(B20="T. monedero I",C20="Propio"),"N.º de cargas de crédito aplicadas",
AND(B20="T. monedero I",C20="Integrado"),"N.º de cargas de crédito aplicadas x % medio de utilización",
AND(B20="T. monedero II",C20="Propio"),"N.º de validaciones",
AND(B20="T. monedero II",C20="Integrado"),"N.º de validaciones"
))</f>
        <v/>
      </c>
      <c r="L20" s="26"/>
      <c r="M20" s="29"/>
      <c r="N20" s="17"/>
      <c r="O20" s="37" t="str">
        <f>IFERROR((tblCATGENERAL[[#This Row],[Estimación demanda 2025]]-tblCATGENERAL[[#This Row],[Estimación demanda 2024]])/tblCATGENERAL[[#This Row],[Estimación demanda 2024]],"")</f>
        <v/>
      </c>
      <c r="P20" s="38" t="str">
        <f>IFERROR(tblCATGENERAL[[#This Row],[Estimación demanda 2025]]*(1+tblCATGENERAL[[#This Row],[Variación interanual 2024-2025]]),"")</f>
        <v/>
      </c>
      <c r="Q20" s="28"/>
      <c r="R20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20" s="23"/>
      <c r="T20" s="37" t="str">
        <f>IFERROR(IF(OR(C20="Propio",AND(C20="Integrado",B20="T. monedero II")),tblCATGENERAL[[#This Row],[Estimación demanda 2026]],tblCATGENERAL[[#This Row],[Estimación demanda 2026]]*tblCATGENERAL[[#This Row],[% medio utilización]]),"")</f>
        <v/>
      </c>
      <c r="U20" s="40">
        <f>tblCATGENERAL[[#This Row],[Precio habitual sin descuento IVA INCLUIDO]]-tblCATGENERAL[[#This Row],[Precio unitario con descuento 2026
IVA INCLUIDO]]</f>
        <v>0</v>
      </c>
      <c r="V20" s="40" t="str">
        <f>IFERROR(tblCATGENERAL[[#This Row],[Unidades de demanda]]*tblCATGENERAL[[#This Row],[Pérdida unitaria de ingresos]],"")</f>
        <v/>
      </c>
      <c r="W20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21" spans="1:23" x14ac:dyDescent="0.35">
      <c r="A21" s="15"/>
      <c r="B21" s="19"/>
      <c r="C21" s="19"/>
      <c r="D21" s="20"/>
      <c r="E21" s="62"/>
      <c r="F21" s="62"/>
      <c r="G21" s="61">
        <f t="shared" si="0"/>
        <v>0.2</v>
      </c>
      <c r="H21" s="57"/>
      <c r="I21" s="58"/>
      <c r="J21" s="54"/>
      <c r="K21" s="37" t="str" cm="1">
        <f t="array" ref="K21">IF(OR(B21="",C21=""),"",_xlfn.IFS(
AND(B21="Abono",C21="Propio"),"N.º de unidades vendidas",
AND(B21="Abono",C21="Integrado"),"N.º de unidades vendidas x % medio de utilización",
AND(B21="Tít. multiviaje",C21="Propio"),"N.º de unidades vendidas",
AND(B21="Tít. multiviaje",C21="Integrado"),"N.º de unidades vendidas x % medio de utilización",
AND(B21="T. monedero I",C21="Propio"),"N.º de cargas de crédito aplicadas",
AND(B21="T. monedero I",C21="Integrado"),"N.º de cargas de crédito aplicadas x % medio de utilización",
AND(B21="T. monedero II",C21="Propio"),"N.º de validaciones",
AND(B21="T. monedero II",C21="Integrado"),"N.º de validaciones"
))</f>
        <v/>
      </c>
      <c r="L21" s="26"/>
      <c r="M21" s="29"/>
      <c r="N21" s="17"/>
      <c r="O21" s="37" t="str">
        <f>IFERROR((tblCATGENERAL[[#This Row],[Estimación demanda 2025]]-tblCATGENERAL[[#This Row],[Estimación demanda 2024]])/tblCATGENERAL[[#This Row],[Estimación demanda 2024]],"")</f>
        <v/>
      </c>
      <c r="P21" s="38" t="str">
        <f>IFERROR(tblCATGENERAL[[#This Row],[Estimación demanda 2025]]*(1+tblCATGENERAL[[#This Row],[Variación interanual 2024-2025]]),"")</f>
        <v/>
      </c>
      <c r="Q21" s="28"/>
      <c r="R21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21" s="23"/>
      <c r="T21" s="37" t="str">
        <f>IFERROR(IF(OR(C21="Propio",AND(C21="Integrado",B21="T. monedero II")),tblCATGENERAL[[#This Row],[Estimación demanda 2026]],tblCATGENERAL[[#This Row],[Estimación demanda 2026]]*tblCATGENERAL[[#This Row],[% medio utilización]]),"")</f>
        <v/>
      </c>
      <c r="U21" s="40">
        <f>tblCATGENERAL[[#This Row],[Precio habitual sin descuento IVA INCLUIDO]]-tblCATGENERAL[[#This Row],[Precio unitario con descuento 2026
IVA INCLUIDO]]</f>
        <v>0</v>
      </c>
      <c r="V21" s="40" t="str">
        <f>IFERROR(tblCATGENERAL[[#This Row],[Unidades de demanda]]*tblCATGENERAL[[#This Row],[Pérdida unitaria de ingresos]],"")</f>
        <v/>
      </c>
      <c r="W21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22" spans="1:23" x14ac:dyDescent="0.35">
      <c r="A22" s="15"/>
      <c r="B22" s="19"/>
      <c r="C22" s="19"/>
      <c r="D22" s="20"/>
      <c r="E22" s="62"/>
      <c r="F22" s="62"/>
      <c r="G22" s="61">
        <f t="shared" si="0"/>
        <v>0.2</v>
      </c>
      <c r="H22" s="57"/>
      <c r="I22" s="58"/>
      <c r="J22" s="54"/>
      <c r="K22" s="37" t="str" cm="1">
        <f t="array" ref="K22">IF(OR(B22="",C22=""),"",_xlfn.IFS(
AND(B22="Abono",C22="Propio"),"N.º de unidades vendidas",
AND(B22="Abono",C22="Integrado"),"N.º de unidades vendidas x % medio de utilización",
AND(B22="Tít. multiviaje",C22="Propio"),"N.º de unidades vendidas",
AND(B22="Tít. multiviaje",C22="Integrado"),"N.º de unidades vendidas x % medio de utilización",
AND(B22="T. monedero I",C22="Propio"),"N.º de cargas de crédito aplicadas",
AND(B22="T. monedero I",C22="Integrado"),"N.º de cargas de crédito aplicadas x % medio de utilización",
AND(B22="T. monedero II",C22="Propio"),"N.º de validaciones",
AND(B22="T. monedero II",C22="Integrado"),"N.º de validaciones"
))</f>
        <v/>
      </c>
      <c r="L22" s="26"/>
      <c r="M22" s="29"/>
      <c r="N22" s="17"/>
      <c r="O22" s="37" t="str">
        <f>IFERROR((tblCATGENERAL[[#This Row],[Estimación demanda 2025]]-tblCATGENERAL[[#This Row],[Estimación demanda 2024]])/tblCATGENERAL[[#This Row],[Estimación demanda 2024]],"")</f>
        <v/>
      </c>
      <c r="P22" s="38" t="str">
        <f>IFERROR(tblCATGENERAL[[#This Row],[Estimación demanda 2025]]*(1+tblCATGENERAL[[#This Row],[Variación interanual 2024-2025]]),"")</f>
        <v/>
      </c>
      <c r="Q22" s="28"/>
      <c r="R22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22" s="23"/>
      <c r="T22" s="37" t="str">
        <f>IFERROR(IF(OR(C22="Propio",AND(C22="Integrado",B22="T. monedero II")),tblCATGENERAL[[#This Row],[Estimación demanda 2026]],tblCATGENERAL[[#This Row],[Estimación demanda 2026]]*tblCATGENERAL[[#This Row],[% medio utilización]]),"")</f>
        <v/>
      </c>
      <c r="U22" s="40">
        <f>tblCATGENERAL[[#This Row],[Precio habitual sin descuento IVA INCLUIDO]]-tblCATGENERAL[[#This Row],[Precio unitario con descuento 2026
IVA INCLUIDO]]</f>
        <v>0</v>
      </c>
      <c r="V22" s="40" t="str">
        <f>IFERROR(tblCATGENERAL[[#This Row],[Unidades de demanda]]*tblCATGENERAL[[#This Row],[Pérdida unitaria de ingresos]],"")</f>
        <v/>
      </c>
      <c r="W22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23" spans="1:23" x14ac:dyDescent="0.35">
      <c r="A23" s="15"/>
      <c r="B23" s="19"/>
      <c r="C23" s="19"/>
      <c r="D23" s="20"/>
      <c r="E23" s="62"/>
      <c r="F23" s="62"/>
      <c r="G23" s="61">
        <f t="shared" si="0"/>
        <v>0.2</v>
      </c>
      <c r="H23" s="57"/>
      <c r="I23" s="58"/>
      <c r="J23" s="54"/>
      <c r="K23" s="37" t="str" cm="1">
        <f t="array" ref="K23">IF(OR(B23="",C23=""),"",_xlfn.IFS(
AND(B23="Abono",C23="Propio"),"N.º de unidades vendidas",
AND(B23="Abono",C23="Integrado"),"N.º de unidades vendidas x % medio de utilización",
AND(B23="Tít. multiviaje",C23="Propio"),"N.º de unidades vendidas",
AND(B23="Tít. multiviaje",C23="Integrado"),"N.º de unidades vendidas x % medio de utilización",
AND(B23="T. monedero I",C23="Propio"),"N.º de cargas de crédito aplicadas",
AND(B23="T. monedero I",C23="Integrado"),"N.º de cargas de crédito aplicadas x % medio de utilización",
AND(B23="T. monedero II",C23="Propio"),"N.º de validaciones",
AND(B23="T. monedero II",C23="Integrado"),"N.º de validaciones"
))</f>
        <v/>
      </c>
      <c r="L23" s="26"/>
      <c r="M23" s="29"/>
      <c r="N23" s="17"/>
      <c r="O23" s="37" t="str">
        <f>IFERROR((tblCATGENERAL[[#This Row],[Estimación demanda 2025]]-tblCATGENERAL[[#This Row],[Estimación demanda 2024]])/tblCATGENERAL[[#This Row],[Estimación demanda 2024]],"")</f>
        <v/>
      </c>
      <c r="P23" s="38" t="str">
        <f>IFERROR(tblCATGENERAL[[#This Row],[Estimación demanda 2025]]*(1+tblCATGENERAL[[#This Row],[Variación interanual 2024-2025]]),"")</f>
        <v/>
      </c>
      <c r="Q23" s="28"/>
      <c r="R23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23" s="23"/>
      <c r="T23" s="37" t="str">
        <f>IFERROR(IF(OR(C23="Propio",AND(C23="Integrado",B23="T. monedero II")),tblCATGENERAL[[#This Row],[Estimación demanda 2026]],tblCATGENERAL[[#This Row],[Estimación demanda 2026]]*tblCATGENERAL[[#This Row],[% medio utilización]]),"")</f>
        <v/>
      </c>
      <c r="U23" s="40">
        <f>tblCATGENERAL[[#This Row],[Precio habitual sin descuento IVA INCLUIDO]]-tblCATGENERAL[[#This Row],[Precio unitario con descuento 2026
IVA INCLUIDO]]</f>
        <v>0</v>
      </c>
      <c r="V23" s="40" t="str">
        <f>IFERROR(tblCATGENERAL[[#This Row],[Unidades de demanda]]*tblCATGENERAL[[#This Row],[Pérdida unitaria de ingresos]],"")</f>
        <v/>
      </c>
      <c r="W23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24" spans="1:23" x14ac:dyDescent="0.35">
      <c r="A24" s="15"/>
      <c r="B24" s="19"/>
      <c r="C24" s="19"/>
      <c r="D24" s="18"/>
      <c r="E24" s="62"/>
      <c r="F24" s="62"/>
      <c r="G24" s="61">
        <f t="shared" si="0"/>
        <v>0.2</v>
      </c>
      <c r="H24" s="57"/>
      <c r="I24" s="58"/>
      <c r="J24" s="54"/>
      <c r="K24" s="37" t="str" cm="1">
        <f t="array" ref="K24">IF(OR(B24="",C24=""),"",_xlfn.IFS(
AND(B24="Abono",C24="Propio"),"N.º de unidades vendidas",
AND(B24="Abono",C24="Integrado"),"N.º de unidades vendidas x % medio de utilización",
AND(B24="Tít. multiviaje",C24="Propio"),"N.º de unidades vendidas",
AND(B24="Tít. multiviaje",C24="Integrado"),"N.º de unidades vendidas x % medio de utilización",
AND(B24="T. monedero I",C24="Propio"),"N.º de cargas de crédito aplicadas",
AND(B24="T. monedero I",C24="Integrado"),"N.º de cargas de crédito aplicadas x % medio de utilización",
AND(B24="T. monedero II",C24="Propio"),"N.º de validaciones",
AND(B24="T. monedero II",C24="Integrado"),"N.º de validaciones"
))</f>
        <v/>
      </c>
      <c r="L24" s="26"/>
      <c r="M24" s="29"/>
      <c r="N24" s="17"/>
      <c r="O24" s="37" t="str">
        <f>IFERROR((tblCATGENERAL[[#This Row],[Estimación demanda 2025]]-tblCATGENERAL[[#This Row],[Estimación demanda 2024]])/tblCATGENERAL[[#This Row],[Estimación demanda 2024]],"")</f>
        <v/>
      </c>
      <c r="P24" s="38" t="str">
        <f>IFERROR(tblCATGENERAL[[#This Row],[Estimación demanda 2025]]*(1+tblCATGENERAL[[#This Row],[Variación interanual 2024-2025]]),"")</f>
        <v/>
      </c>
      <c r="Q24" s="28"/>
      <c r="R24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24" s="23"/>
      <c r="T24" s="37" t="str">
        <f>IFERROR(IF(OR(C24="Propio",AND(C24="Integrado",B24="T. monedero II")),tblCATGENERAL[[#This Row],[Estimación demanda 2026]],tblCATGENERAL[[#This Row],[Estimación demanda 2026]]*tblCATGENERAL[[#This Row],[% medio utilización]]),"")</f>
        <v/>
      </c>
      <c r="U24" s="40">
        <f>tblCATGENERAL[[#This Row],[Precio habitual sin descuento IVA INCLUIDO]]-tblCATGENERAL[[#This Row],[Precio unitario con descuento 2026
IVA INCLUIDO]]</f>
        <v>0</v>
      </c>
      <c r="V24" s="40" t="str">
        <f>IFERROR(tblCATGENERAL[[#This Row],[Unidades de demanda]]*tblCATGENERAL[[#This Row],[Pérdida unitaria de ingresos]],"")</f>
        <v/>
      </c>
      <c r="W24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25" spans="1:23" x14ac:dyDescent="0.35">
      <c r="A25" s="15"/>
      <c r="B25" s="19"/>
      <c r="C25" s="19"/>
      <c r="D25" s="18"/>
      <c r="E25" s="62"/>
      <c r="F25" s="62"/>
      <c r="G25" s="61">
        <f t="shared" si="0"/>
        <v>0.2</v>
      </c>
      <c r="H25" s="57"/>
      <c r="I25" s="58"/>
      <c r="J25" s="54"/>
      <c r="K25" s="37" t="str" cm="1">
        <f t="array" ref="K25">IF(OR(B25="",C25=""),"",_xlfn.IFS(
AND(B25="Abono",C25="Propio"),"N.º de unidades vendidas",
AND(B25="Abono",C25="Integrado"),"N.º de unidades vendidas x % medio de utilización",
AND(B25="Tít. multiviaje",C25="Propio"),"N.º de unidades vendidas",
AND(B25="Tít. multiviaje",C25="Integrado"),"N.º de unidades vendidas x % medio de utilización",
AND(B25="T. monedero I",C25="Propio"),"N.º de cargas de crédito aplicadas",
AND(B25="T. monedero I",C25="Integrado"),"N.º de cargas de crédito aplicadas x % medio de utilización",
AND(B25="T. monedero II",C25="Propio"),"N.º de validaciones",
AND(B25="T. monedero II",C25="Integrado"),"N.º de validaciones"
))</f>
        <v/>
      </c>
      <c r="L25" s="26"/>
      <c r="M25" s="29"/>
      <c r="N25" s="17"/>
      <c r="O25" s="37" t="str">
        <f>IFERROR((tblCATGENERAL[[#This Row],[Estimación demanda 2025]]-tblCATGENERAL[[#This Row],[Estimación demanda 2024]])/tblCATGENERAL[[#This Row],[Estimación demanda 2024]],"")</f>
        <v/>
      </c>
      <c r="P25" s="38" t="str">
        <f>IFERROR(tblCATGENERAL[[#This Row],[Estimación demanda 2025]]*(1+tblCATGENERAL[[#This Row],[Variación interanual 2024-2025]]),"")</f>
        <v/>
      </c>
      <c r="Q25" s="28"/>
      <c r="R25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25" s="23"/>
      <c r="T25" s="37" t="str">
        <f>IFERROR(IF(OR(C25="Propio",AND(C25="Integrado",B25="T. monedero II")),tblCATGENERAL[[#This Row],[Estimación demanda 2026]],tblCATGENERAL[[#This Row],[Estimación demanda 2026]]*tblCATGENERAL[[#This Row],[% medio utilización]]),"")</f>
        <v/>
      </c>
      <c r="U25" s="40">
        <f>tblCATGENERAL[[#This Row],[Precio habitual sin descuento IVA INCLUIDO]]-tblCATGENERAL[[#This Row],[Precio unitario con descuento 2026
IVA INCLUIDO]]</f>
        <v>0</v>
      </c>
      <c r="V25" s="40" t="str">
        <f>IFERROR(tblCATGENERAL[[#This Row],[Unidades de demanda]]*tblCATGENERAL[[#This Row],[Pérdida unitaria de ingresos]],"")</f>
        <v/>
      </c>
      <c r="W25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26" spans="1:23" x14ac:dyDescent="0.35">
      <c r="A26" s="15"/>
      <c r="B26" s="19"/>
      <c r="C26" s="19"/>
      <c r="D26" s="18"/>
      <c r="E26" s="62"/>
      <c r="F26" s="62"/>
      <c r="G26" s="61">
        <f t="shared" si="0"/>
        <v>0.2</v>
      </c>
      <c r="H26" s="57"/>
      <c r="I26" s="58"/>
      <c r="J26" s="54"/>
      <c r="K26" s="37" t="str" cm="1">
        <f t="array" ref="K26">IF(OR(B26="",C26=""),"",_xlfn.IFS(
AND(B26="Abono",C26="Propio"),"N.º de unidades vendidas",
AND(B26="Abono",C26="Integrado"),"N.º de unidades vendidas x % medio de utilización",
AND(B26="Tít. multiviaje",C26="Propio"),"N.º de unidades vendidas",
AND(B26="Tít. multiviaje",C26="Integrado"),"N.º de unidades vendidas x % medio de utilización",
AND(B26="T. monedero I",C26="Propio"),"N.º de cargas de crédito aplicadas",
AND(B26="T. monedero I",C26="Integrado"),"N.º de cargas de crédito aplicadas x % medio de utilización",
AND(B26="T. monedero II",C26="Propio"),"N.º de validaciones",
AND(B26="T. monedero II",C26="Integrado"),"N.º de validaciones"
))</f>
        <v/>
      </c>
      <c r="L26" s="26"/>
      <c r="M26" s="29"/>
      <c r="N26" s="17"/>
      <c r="O26" s="37" t="str">
        <f>IFERROR((tblCATGENERAL[[#This Row],[Estimación demanda 2025]]-tblCATGENERAL[[#This Row],[Estimación demanda 2024]])/tblCATGENERAL[[#This Row],[Estimación demanda 2024]],"")</f>
        <v/>
      </c>
      <c r="P26" s="38" t="str">
        <f>IFERROR(tblCATGENERAL[[#This Row],[Estimación demanda 2025]]*(1+tblCATGENERAL[[#This Row],[Variación interanual 2024-2025]]),"")</f>
        <v/>
      </c>
      <c r="Q26" s="28"/>
      <c r="R26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26" s="23"/>
      <c r="T26" s="37" t="str">
        <f>IFERROR(IF(OR(C26="Propio",AND(C26="Integrado",B26="T. monedero II")),tblCATGENERAL[[#This Row],[Estimación demanda 2026]],tblCATGENERAL[[#This Row],[Estimación demanda 2026]]*tblCATGENERAL[[#This Row],[% medio utilización]]),"")</f>
        <v/>
      </c>
      <c r="U26" s="40">
        <f>tblCATGENERAL[[#This Row],[Precio habitual sin descuento IVA INCLUIDO]]-tblCATGENERAL[[#This Row],[Precio unitario con descuento 2026
IVA INCLUIDO]]</f>
        <v>0</v>
      </c>
      <c r="V26" s="40" t="str">
        <f>IFERROR(tblCATGENERAL[[#This Row],[Unidades de demanda]]*tblCATGENERAL[[#This Row],[Pérdida unitaria de ingresos]],"")</f>
        <v/>
      </c>
      <c r="W26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27" spans="1:23" x14ac:dyDescent="0.35">
      <c r="A27" s="15"/>
      <c r="B27" s="19"/>
      <c r="C27" s="19"/>
      <c r="D27" s="18"/>
      <c r="E27" s="62"/>
      <c r="F27" s="62"/>
      <c r="G27" s="61">
        <f t="shared" si="0"/>
        <v>0.2</v>
      </c>
      <c r="H27" s="57"/>
      <c r="I27" s="58"/>
      <c r="J27" s="54"/>
      <c r="K27" s="37" t="str" cm="1">
        <f t="array" ref="K27">IF(OR(B27="",C27=""),"",_xlfn.IFS(
AND(B27="Abono",C27="Propio"),"N.º de unidades vendidas",
AND(B27="Abono",C27="Integrado"),"N.º de unidades vendidas x % medio de utilización",
AND(B27="Tít. multiviaje",C27="Propio"),"N.º de unidades vendidas",
AND(B27="Tít. multiviaje",C27="Integrado"),"N.º de unidades vendidas x % medio de utilización",
AND(B27="T. monedero I",C27="Propio"),"N.º de cargas de crédito aplicadas",
AND(B27="T. monedero I",C27="Integrado"),"N.º de cargas de crédito aplicadas x % medio de utilización",
AND(B27="T. monedero II",C27="Propio"),"N.º de validaciones",
AND(B27="T. monedero II",C27="Integrado"),"N.º de validaciones"
))</f>
        <v/>
      </c>
      <c r="L27" s="26"/>
      <c r="M27" s="29"/>
      <c r="N27" s="17"/>
      <c r="O27" s="37" t="str">
        <f>IFERROR((tblCATGENERAL[[#This Row],[Estimación demanda 2025]]-tblCATGENERAL[[#This Row],[Estimación demanda 2024]])/tblCATGENERAL[[#This Row],[Estimación demanda 2024]],"")</f>
        <v/>
      </c>
      <c r="P27" s="38" t="str">
        <f>IFERROR(tblCATGENERAL[[#This Row],[Estimación demanda 2025]]*(1+tblCATGENERAL[[#This Row],[Variación interanual 2024-2025]]),"")</f>
        <v/>
      </c>
      <c r="Q27" s="28"/>
      <c r="R27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27" s="23"/>
      <c r="T27" s="37" t="str">
        <f>IFERROR(IF(OR(C27="Propio",AND(C27="Integrado",B27="T. monedero II")),tblCATGENERAL[[#This Row],[Estimación demanda 2026]],tblCATGENERAL[[#This Row],[Estimación demanda 2026]]*tblCATGENERAL[[#This Row],[% medio utilización]]),"")</f>
        <v/>
      </c>
      <c r="U27" s="40">
        <f>tblCATGENERAL[[#This Row],[Precio habitual sin descuento IVA INCLUIDO]]-tblCATGENERAL[[#This Row],[Precio unitario con descuento 2026
IVA INCLUIDO]]</f>
        <v>0</v>
      </c>
      <c r="V27" s="40" t="str">
        <f>IFERROR(tblCATGENERAL[[#This Row],[Unidades de demanda]]*tblCATGENERAL[[#This Row],[Pérdida unitaria de ingresos]],"")</f>
        <v/>
      </c>
      <c r="W27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28" spans="1:23" x14ac:dyDescent="0.35">
      <c r="A28" s="15"/>
      <c r="B28" s="19"/>
      <c r="C28" s="19"/>
      <c r="D28" s="18"/>
      <c r="E28" s="62"/>
      <c r="F28" s="62"/>
      <c r="G28" s="61">
        <f t="shared" si="0"/>
        <v>0.2</v>
      </c>
      <c r="H28" s="57"/>
      <c r="I28" s="58"/>
      <c r="J28" s="54"/>
      <c r="K28" s="37" t="str" cm="1">
        <f t="array" ref="K28">IF(OR(B28="",C28=""),"",_xlfn.IFS(
AND(B28="Abono",C28="Propio"),"N.º de unidades vendidas",
AND(B28="Abono",C28="Integrado"),"N.º de unidades vendidas x % medio de utilización",
AND(B28="Tít. multiviaje",C28="Propio"),"N.º de unidades vendidas",
AND(B28="Tít. multiviaje",C28="Integrado"),"N.º de unidades vendidas x % medio de utilización",
AND(B28="T. monedero I",C28="Propio"),"N.º de cargas de crédito aplicadas",
AND(B28="T. monedero I",C28="Integrado"),"N.º de cargas de crédito aplicadas x % medio de utilización",
AND(B28="T. monedero II",C28="Propio"),"N.º de validaciones",
AND(B28="T. monedero II",C28="Integrado"),"N.º de validaciones"
))</f>
        <v/>
      </c>
      <c r="L28" s="26"/>
      <c r="M28" s="29"/>
      <c r="N28" s="17"/>
      <c r="O28" s="37" t="str">
        <f>IFERROR((tblCATGENERAL[[#This Row],[Estimación demanda 2025]]-tblCATGENERAL[[#This Row],[Estimación demanda 2024]])/tblCATGENERAL[[#This Row],[Estimación demanda 2024]],"")</f>
        <v/>
      </c>
      <c r="P28" s="38" t="str">
        <f>IFERROR(tblCATGENERAL[[#This Row],[Estimación demanda 2025]]*(1+tblCATGENERAL[[#This Row],[Variación interanual 2024-2025]]),"")</f>
        <v/>
      </c>
      <c r="Q28" s="28"/>
      <c r="R28" s="39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28" s="23"/>
      <c r="T28" s="37" t="str">
        <f>IFERROR(IF(OR(C28="Propio",AND(C28="Integrado",B28="T. monedero II")),tblCATGENERAL[[#This Row],[Estimación demanda 2026]],tblCATGENERAL[[#This Row],[Estimación demanda 2026]]*tblCATGENERAL[[#This Row],[% medio utilización]]),"")</f>
        <v/>
      </c>
      <c r="U28" s="40">
        <f>tblCATGENERAL[[#This Row],[Precio habitual sin descuento IVA INCLUIDO]]-tblCATGENERAL[[#This Row],[Precio unitario con descuento 2026
IVA INCLUIDO]]</f>
        <v>0</v>
      </c>
      <c r="V28" s="40" t="str">
        <f>IFERROR(tblCATGENERAL[[#This Row],[Unidades de demanda]]*tblCATGENERAL[[#This Row],[Pérdida unitaria de ingresos]],"")</f>
        <v/>
      </c>
      <c r="W28" s="40" t="str">
        <f>IFERROR(tblCATGENERAL[[#This Row],[Unidades de demanda]]*tblCATGENERAL[[#This Row],[Precio habitual sin descuento IVA INCLUIDO]]*tblCATGENERAL[[#This Row],[Porcentaje de descuento que se financia por parte del Ministerio de Transportes y Movilidad Sostenible]],"")</f>
        <v/>
      </c>
    </row>
    <row r="29" spans="1:23" s="10" customFormat="1" ht="15" thickBot="1" x14ac:dyDescent="0.4">
      <c r="A29" s="41"/>
      <c r="B29" s="41"/>
      <c r="C29" s="41"/>
      <c r="D29" s="42" t="s">
        <v>2</v>
      </c>
      <c r="E29" s="42"/>
      <c r="F29" s="42"/>
      <c r="G29" s="53" t="s">
        <v>2</v>
      </c>
      <c r="H29" s="59"/>
      <c r="I29" s="60"/>
      <c r="J29" s="55" t="s">
        <v>2</v>
      </c>
      <c r="K29" s="41"/>
      <c r="L29" s="43"/>
      <c r="M29" s="44"/>
      <c r="N29" s="45"/>
      <c r="O29" s="45" t="str">
        <f>IFERROR((tblCATGENERAL[[#This Row],[Estimación demanda 2025]]-tblCATGENERAL[[#This Row],[Estimación demanda 2024]])/tblCATGENERAL[[#This Row],[Estimación demanda 2024]],"")</f>
        <v/>
      </c>
      <c r="P29" s="46" t="str">
        <f>IFERROR(tblCATGENERAL[[#This Row],[Estimación demanda 2025]]*(1+tblCATGENERAL[[#This Row],[Variación interanual 2024-2025]]),"")</f>
        <v/>
      </c>
      <c r="Q29" s="47"/>
      <c r="R29" s="41" t="str">
        <f>IF(tblCATGENERAL[[#This Row],[Aplicación método Anexo I]]=Hoja1!$C$2,tblCATGENERAL[[#This Row],[Estimación demanda 2026 - Mét. Anexo I]],IF(tblCATGENERAL[[#This Row],[Aplicación método Anexo I]]=Hoja1!$C$3,tblCATGENERAL[[#This Row],[Estimación demanda 2026 - Mét. Propio]],""))</f>
        <v/>
      </c>
      <c r="S29" s="41"/>
      <c r="T29" s="41" t="str">
        <f>IFERROR(IF(OR(C29="Propio",AND(C29="Integrado",B29="T. monedero II")),tblCATGENERAL[[#This Row],[Estimación demanda 2026]],tblCATGENERAL[[#This Row],[Estimación demanda 2026]]*tblCATGENERAL[[#This Row],[% medio utilización]]),"")</f>
        <v/>
      </c>
      <c r="U29" s="42" t="s">
        <v>2</v>
      </c>
      <c r="V29" s="48">
        <f>SUM(V3:V28)</f>
        <v>0</v>
      </c>
      <c r="W29" s="13">
        <f>SUM(W3:W28)</f>
        <v>0</v>
      </c>
    </row>
    <row r="30" spans="1:23" ht="15" thickTop="1" x14ac:dyDescent="0.35"/>
    <row r="31" spans="1:23" x14ac:dyDescent="0.35">
      <c r="D31" s="8"/>
      <c r="E31" s="8"/>
      <c r="F31" s="8"/>
      <c r="G31" s="8"/>
      <c r="H31" s="8"/>
      <c r="I31" s="8"/>
      <c r="T31" s="8"/>
    </row>
    <row r="32" spans="1:23" x14ac:dyDescent="0.35">
      <c r="A32" s="24" t="s">
        <v>36</v>
      </c>
      <c r="D32" s="8"/>
      <c r="E32" s="8"/>
      <c r="F32" s="8"/>
      <c r="G32" s="8"/>
      <c r="H32" s="8"/>
      <c r="I32" s="8"/>
      <c r="T32" s="8"/>
    </row>
    <row r="33" spans="1:20" x14ac:dyDescent="0.35">
      <c r="A33" s="8" t="s">
        <v>33</v>
      </c>
      <c r="D33" s="8"/>
      <c r="E33" s="8"/>
      <c r="F33" s="8"/>
      <c r="G33" s="8"/>
      <c r="H33" s="8"/>
      <c r="I33" s="8"/>
      <c r="J33"/>
      <c r="K33" s="11"/>
      <c r="L33" s="11"/>
      <c r="M33" s="11"/>
      <c r="N33" s="11"/>
      <c r="O33" s="11"/>
      <c r="P33" s="11"/>
      <c r="S33" s="11"/>
      <c r="T33" s="8"/>
    </row>
    <row r="34" spans="1:20" x14ac:dyDescent="0.35">
      <c r="A34" s="8" t="s">
        <v>34</v>
      </c>
      <c r="D34" s="8"/>
      <c r="E34" s="8"/>
      <c r="F34" s="8"/>
      <c r="G34" s="8"/>
      <c r="H34" s="8"/>
      <c r="I34" s="8"/>
      <c r="J34"/>
      <c r="K34" s="11"/>
      <c r="L34" s="11"/>
      <c r="M34" s="11"/>
      <c r="N34" s="11"/>
      <c r="O34" s="11"/>
      <c r="P34" s="11"/>
      <c r="S34" s="11"/>
      <c r="T34" s="8"/>
    </row>
    <row r="35" spans="1:20" x14ac:dyDescent="0.35">
      <c r="D35" s="8"/>
      <c r="E35" s="8"/>
      <c r="F35" s="8"/>
      <c r="G35" s="8"/>
      <c r="H35" s="8"/>
      <c r="I35" s="8"/>
      <c r="J35"/>
      <c r="K35" s="11"/>
      <c r="L35" s="11"/>
      <c r="M35" s="11"/>
      <c r="N35" s="11"/>
      <c r="O35" s="11"/>
      <c r="P35" s="11"/>
      <c r="S35" s="11"/>
      <c r="T35" s="8"/>
    </row>
    <row r="36" spans="1:20" x14ac:dyDescent="0.35">
      <c r="D36" s="8"/>
      <c r="E36" s="8"/>
      <c r="F36" s="8"/>
      <c r="G36" s="8"/>
      <c r="H36" s="8"/>
      <c r="I36" s="8"/>
      <c r="J36"/>
      <c r="K36" s="11"/>
      <c r="L36" s="11"/>
      <c r="M36" s="11"/>
      <c r="N36" s="11"/>
      <c r="O36" s="11"/>
      <c r="P36" s="11"/>
      <c r="S36" s="11"/>
      <c r="T36" s="8"/>
    </row>
    <row r="37" spans="1:20" x14ac:dyDescent="0.35">
      <c r="D37" s="8"/>
      <c r="E37" s="8"/>
      <c r="F37" s="8"/>
      <c r="G37" s="8"/>
      <c r="H37" s="8"/>
      <c r="I37" s="8"/>
      <c r="J37"/>
      <c r="K37" s="11"/>
      <c r="L37" s="11"/>
      <c r="M37" s="11"/>
      <c r="N37" s="11"/>
      <c r="O37" s="11"/>
      <c r="P37" s="11"/>
      <c r="S37" s="11"/>
      <c r="T37" s="8"/>
    </row>
    <row r="38" spans="1:20" x14ac:dyDescent="0.35">
      <c r="D38" s="8"/>
      <c r="E38" s="8"/>
      <c r="F38" s="8"/>
      <c r="G38" s="8"/>
      <c r="H38" s="8"/>
      <c r="I38" s="8"/>
      <c r="J38"/>
      <c r="K38" s="11"/>
      <c r="L38" s="11"/>
      <c r="M38" s="11"/>
      <c r="N38" s="11"/>
      <c r="O38" s="11"/>
      <c r="P38" s="11"/>
      <c r="S38" s="11"/>
      <c r="T38" s="8"/>
    </row>
    <row r="39" spans="1:20" x14ac:dyDescent="0.35">
      <c r="D39" s="8"/>
      <c r="E39" s="8"/>
      <c r="F39" s="8"/>
      <c r="G39" s="8"/>
      <c r="H39" s="8"/>
      <c r="I39" s="8"/>
      <c r="J39"/>
      <c r="K39" s="11"/>
      <c r="L39" s="11"/>
      <c r="M39" s="11"/>
      <c r="N39" s="11"/>
      <c r="O39" s="11"/>
      <c r="P39" s="11"/>
      <c r="S39" s="11"/>
      <c r="T39" s="8"/>
    </row>
    <row r="40" spans="1:20" x14ac:dyDescent="0.35">
      <c r="D40" s="8"/>
      <c r="E40" s="8"/>
      <c r="F40" s="8"/>
      <c r="G40" s="8"/>
      <c r="H40" s="8"/>
      <c r="I40" s="8"/>
      <c r="J40"/>
      <c r="K40" s="11"/>
      <c r="L40" s="11"/>
      <c r="M40" s="11"/>
      <c r="N40" s="11"/>
      <c r="O40" s="11"/>
      <c r="P40" s="11"/>
      <c r="S40" s="11"/>
      <c r="T40" s="8"/>
    </row>
    <row r="41" spans="1:20" x14ac:dyDescent="0.35">
      <c r="D41" s="8"/>
      <c r="E41" s="8"/>
      <c r="F41" s="8"/>
      <c r="G41" s="8"/>
      <c r="H41" s="8"/>
      <c r="I41" s="8"/>
      <c r="J41"/>
      <c r="K41" s="11"/>
      <c r="L41" s="11"/>
      <c r="M41" s="11"/>
      <c r="N41" s="11"/>
      <c r="O41" s="11"/>
      <c r="P41" s="11"/>
      <c r="S41" s="11"/>
      <c r="T41" s="8"/>
    </row>
    <row r="42" spans="1:20" x14ac:dyDescent="0.35">
      <c r="D42" s="8"/>
      <c r="E42" s="8"/>
      <c r="F42" s="8"/>
      <c r="G42" s="8"/>
      <c r="H42" s="8"/>
      <c r="I42" s="8"/>
      <c r="J42"/>
      <c r="K42" s="11"/>
      <c r="L42" s="11"/>
      <c r="M42" s="11"/>
      <c r="N42" s="11"/>
      <c r="O42" s="11"/>
      <c r="P42" s="11"/>
      <c r="S42" s="11"/>
      <c r="T42" s="8"/>
    </row>
    <row r="43" spans="1:20" x14ac:dyDescent="0.35">
      <c r="D43" s="8"/>
      <c r="E43" s="8"/>
      <c r="F43" s="8"/>
      <c r="G43" s="8"/>
      <c r="H43" s="8"/>
      <c r="I43" s="8"/>
      <c r="J43"/>
      <c r="K43" s="11"/>
      <c r="L43" s="11"/>
      <c r="M43" s="11"/>
      <c r="N43" s="11"/>
      <c r="O43" s="11"/>
      <c r="P43" s="11"/>
      <c r="S43" s="11"/>
      <c r="T43" s="8"/>
    </row>
    <row r="44" spans="1:20" x14ac:dyDescent="0.35">
      <c r="D44" s="8"/>
      <c r="E44" s="8"/>
      <c r="F44" s="8"/>
      <c r="G44" s="8"/>
      <c r="H44" s="8"/>
      <c r="I44" s="8"/>
      <c r="J44"/>
      <c r="K44" s="11"/>
      <c r="L44" s="11"/>
      <c r="M44" s="11"/>
      <c r="N44" s="11"/>
      <c r="O44" s="11"/>
      <c r="P44" s="11"/>
      <c r="S44" s="11"/>
      <c r="T44" s="8"/>
    </row>
    <row r="45" spans="1:20" x14ac:dyDescent="0.35">
      <c r="D45" s="8"/>
      <c r="E45" s="8"/>
      <c r="F45" s="8"/>
      <c r="G45" s="8"/>
      <c r="H45" s="8"/>
      <c r="I45" s="8"/>
      <c r="J45"/>
      <c r="K45" s="11"/>
      <c r="L45" s="11"/>
      <c r="M45" s="11"/>
      <c r="N45" s="11"/>
      <c r="O45" s="11"/>
      <c r="P45" s="11"/>
      <c r="S45" s="11"/>
      <c r="T45" s="8"/>
    </row>
  </sheetData>
  <sheetProtection selectLockedCells="1"/>
  <mergeCells count="2">
    <mergeCell ref="M1:P1"/>
    <mergeCell ref="H1:I1"/>
  </mergeCells>
  <phoneticPr fontId="3" type="noConversion"/>
  <conditionalFormatting sqref="L3:L28">
    <cfRule type="expression" dxfId="11" priority="1">
      <formula>AND(H3-I3&gt;0.15*H3,L3="Sí")</formula>
    </cfRule>
  </conditionalFormatting>
  <conditionalFormatting sqref="M3:P28">
    <cfRule type="expression" dxfId="10" priority="2">
      <formula>$L3="NO"</formula>
    </cfRule>
  </conditionalFormatting>
  <conditionalFormatting sqref="Q3:Q28">
    <cfRule type="expression" dxfId="9" priority="3">
      <formula>$L3="SÍ"</formula>
    </cfRule>
  </conditionalFormatting>
  <conditionalFormatting sqref="S3:S28">
    <cfRule type="expression" dxfId="8" priority="4">
      <formula>OR(C3="Propio",AND(C3="Integrado",B3="T. monedero II"))</formula>
    </cfRule>
  </conditionalFormatting>
  <dataValidations count="2">
    <dataValidation operator="greaterThanOrEqual" allowBlank="1" showInputMessage="1" showErrorMessage="1" sqref="V3:V28 S3:T28 G3:I28" xr:uid="{06A7FA68-0F4E-415A-83C6-1663CA846C5A}"/>
    <dataValidation type="decimal" operator="greaterThanOrEqual" allowBlank="1" showInputMessage="1" showErrorMessage="1" sqref="D3:F28 J3:K28 U3:U28" xr:uid="{5E7CD26B-F4F4-4A75-8482-F2F69E7579B5}">
      <formula1>0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3CB6085-AF69-4648-BF19-BEB3E805EFA9}">
          <x14:formula1>
            <xm:f>Hoja1!$A$2:$A$5</xm:f>
          </x14:formula1>
          <xm:sqref>B3:B28</xm:sqref>
        </x14:dataValidation>
        <x14:dataValidation type="list" allowBlank="1" showInputMessage="1" showErrorMessage="1" xr:uid="{D6143D1B-7A4C-48FB-9BDC-E89A29F5F547}">
          <x14:formula1>
            <xm:f>Hoja1!$B$2:$B$3</xm:f>
          </x14:formula1>
          <xm:sqref>C3:C28</xm:sqref>
        </x14:dataValidation>
        <x14:dataValidation type="list" operator="greaterThanOrEqual" allowBlank="1" showInputMessage="1" showErrorMessage="1" xr:uid="{2A6DB00A-17E7-4C9D-A87A-386D45AA47BF}">
          <x14:formula1>
            <xm:f>Hoja1!$C$2:$C$3</xm:f>
          </x14:formula1>
          <xm:sqref>L3:L28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F4A8-90AF-4375-BC0D-62B7033F0A8F}">
  <sheetPr codeName="Hoja3"/>
  <dimension ref="A1:W45"/>
  <sheetViews>
    <sheetView zoomScale="85" zoomScaleNormal="85" workbookViewId="0">
      <selection activeCell="A2" sqref="A2"/>
    </sheetView>
  </sheetViews>
  <sheetFormatPr baseColWidth="10" defaultColWidth="8.7265625" defaultRowHeight="14.5" x14ac:dyDescent="0.35"/>
  <cols>
    <col min="1" max="1" width="25.453125" style="8" customWidth="1"/>
    <col min="2" max="2" width="15.453125" style="8" customWidth="1"/>
    <col min="3" max="3" width="13.54296875" style="8" customWidth="1"/>
    <col min="4" max="4" width="12.81640625" customWidth="1"/>
    <col min="5" max="5" width="19.453125" customWidth="1"/>
    <col min="6" max="6" width="29.1796875" customWidth="1"/>
    <col min="7" max="7" width="21.453125" customWidth="1"/>
    <col min="8" max="8" width="13.54296875" customWidth="1"/>
    <col min="9" max="9" width="13.81640625" customWidth="1"/>
    <col min="10" max="10" width="14" style="8" customWidth="1"/>
    <col min="11" max="11" width="48.81640625" style="12" bestFit="1" customWidth="1"/>
    <col min="12" max="12" width="11.81640625" style="12" bestFit="1" customWidth="1"/>
    <col min="13" max="13" width="12.1796875" style="12" customWidth="1"/>
    <col min="14" max="16" width="13" style="12" customWidth="1"/>
    <col min="17" max="18" width="11.7265625" style="8" customWidth="1"/>
    <col min="19" max="19" width="13" style="12" customWidth="1"/>
    <col min="20" max="20" width="12.453125" customWidth="1"/>
    <col min="21" max="21" width="11.7265625" style="8" customWidth="1"/>
    <col min="22" max="22" width="17.26953125" style="8" customWidth="1"/>
    <col min="23" max="23" width="20.7265625" style="8" customWidth="1"/>
    <col min="24" max="24" width="22.26953125" style="8" customWidth="1"/>
    <col min="25" max="25" width="20.1796875" style="8" customWidth="1"/>
    <col min="26" max="26" width="23.26953125" style="8" customWidth="1"/>
    <col min="27" max="16384" width="8.7265625" style="8"/>
  </cols>
  <sheetData>
    <row r="1" spans="1:23" ht="15" customHeight="1" thickTop="1" x14ac:dyDescent="0.35">
      <c r="D1" s="8"/>
      <c r="E1" s="8"/>
      <c r="F1" s="8"/>
      <c r="G1" s="12"/>
      <c r="H1" s="79" t="s">
        <v>20</v>
      </c>
      <c r="I1" s="80"/>
      <c r="K1" s="8"/>
      <c r="L1" s="8"/>
      <c r="M1" s="76" t="s">
        <v>20</v>
      </c>
      <c r="N1" s="77"/>
      <c r="O1" s="77"/>
      <c r="P1" s="78"/>
      <c r="S1" s="21"/>
      <c r="T1" s="8"/>
    </row>
    <row r="2" spans="1:23" customFormat="1" ht="87" x14ac:dyDescent="0.35">
      <c r="A2" s="30" t="s">
        <v>8</v>
      </c>
      <c r="B2" s="30" t="s">
        <v>9</v>
      </c>
      <c r="C2" s="30" t="s">
        <v>10</v>
      </c>
      <c r="D2" s="31" t="s">
        <v>46</v>
      </c>
      <c r="E2" s="31" t="s">
        <v>37</v>
      </c>
      <c r="F2" s="31" t="s">
        <v>38</v>
      </c>
      <c r="G2" s="52" t="s">
        <v>7</v>
      </c>
      <c r="H2" s="34" t="s">
        <v>45</v>
      </c>
      <c r="I2" s="56" t="s">
        <v>43</v>
      </c>
      <c r="J2" s="30" t="s">
        <v>44</v>
      </c>
      <c r="K2" s="30" t="s">
        <v>11</v>
      </c>
      <c r="L2" s="33" t="s">
        <v>25</v>
      </c>
      <c r="M2" s="34" t="s">
        <v>26</v>
      </c>
      <c r="N2" s="30" t="s">
        <v>27</v>
      </c>
      <c r="O2" s="30" t="s">
        <v>31</v>
      </c>
      <c r="P2" s="35" t="s">
        <v>29</v>
      </c>
      <c r="Q2" s="30" t="s">
        <v>30</v>
      </c>
      <c r="R2" s="30" t="s">
        <v>28</v>
      </c>
      <c r="S2" s="30" t="s">
        <v>24</v>
      </c>
      <c r="T2" s="30" t="s">
        <v>12</v>
      </c>
      <c r="U2" s="32" t="s">
        <v>0</v>
      </c>
      <c r="V2" s="32" t="s">
        <v>1</v>
      </c>
      <c r="W2" s="36" t="s">
        <v>13</v>
      </c>
    </row>
    <row r="3" spans="1:23" x14ac:dyDescent="0.35">
      <c r="A3" s="14"/>
      <c r="B3" s="17"/>
      <c r="C3" s="17"/>
      <c r="D3" s="18"/>
      <c r="E3" s="62"/>
      <c r="F3" s="62"/>
      <c r="G3" s="61">
        <f>MIN(1-E3-F3,0.5)</f>
        <v>0.5</v>
      </c>
      <c r="H3" s="57"/>
      <c r="I3" s="58"/>
      <c r="J3" s="54"/>
      <c r="K3" s="37" t="str" cm="1">
        <f t="array" ref="K3">IF(OR(B3="",C3=""),"",_xlfn.IFS(
AND(B3="Abono",C3="Propio"),"N.º de unidades vendidas",
AND(B3="Abono",C3="Integrado"),"N.º de unidades vendidas x % medio de utilización",
AND(B3="Tít. multiviaje",C3="Propio"),"N.º de unidades vendidas",
AND(B3="Tít. multiviaje",C3="Integrado"),"N.º de unidades vendidas x % medio de utilización",
AND(B3="T. monedero I",C3="Propio"),"N.º de cargas de crédito aplicadas",
AND(B3="T. monedero I",C3="Integrado"),"N.º de cargas de crédito aplicadas x % medio de utilización",
AND(B3="T. monedero II",C3="Propio"),"N.º de validaciones",
AND(B3="T. monedero II",C3="Integrado"),"N.º de validaciones"
))</f>
        <v/>
      </c>
      <c r="L3" s="26"/>
      <c r="M3" s="29"/>
      <c r="N3" s="17"/>
      <c r="O3" s="37" t="str">
        <f>IFERROR((tblJOVEN[[#This Row],[Estimación demanda 2025]]-tblJOVEN[[#This Row],[Estimación demanda 2024]])/tblJOVEN[[#This Row],[Estimación demanda 2024]],"")</f>
        <v/>
      </c>
      <c r="P3" s="38" t="str">
        <f>IFERROR(tblJOVEN[[#This Row],[Estimación demanda 2025]]*(1+tblJOVEN[[#This Row],[Variación interanual 2024-2025]]),"")</f>
        <v/>
      </c>
      <c r="Q3" s="27"/>
      <c r="R3" s="37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3" s="23"/>
      <c r="T3" s="37" t="str">
        <f>IFERROR(IF(OR(C3="Propio",AND(C3="Integrado",B3="T. monedero II")),tblJOVEN[[#This Row],[Estimación demanda 2026]],tblJOVEN[[#This Row],[Estimación demanda 2026]]*tblJOVEN[[#This Row],[% medio utilización]]),"")</f>
        <v/>
      </c>
      <c r="U3" s="40">
        <f>tblJOVEN[[#This Row],[Precio habitual sin descuento 
IVA INCLUIDO]]-tblJOVEN[[#This Row],[Precio unitario con descuento 2026
IVA INCLUIDO]]</f>
        <v>0</v>
      </c>
      <c r="V3" s="40" t="str">
        <f>IFERROR(tblJOVEN[[#This Row],[Unidades de demanda]]*tblJOVEN[[#This Row],[Pérdida unitaria de ingresos]],"")</f>
        <v/>
      </c>
      <c r="W3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4" spans="1:23" x14ac:dyDescent="0.35">
      <c r="A4" s="15"/>
      <c r="B4" s="19"/>
      <c r="C4" s="17"/>
      <c r="D4" s="20"/>
      <c r="E4" s="62"/>
      <c r="F4" s="62"/>
      <c r="G4" s="61">
        <f t="shared" ref="G4:G28" si="0">MIN(1-E4-F4,0.5)</f>
        <v>0.5</v>
      </c>
      <c r="H4" s="57"/>
      <c r="I4" s="58"/>
      <c r="J4" s="54"/>
      <c r="K4" s="37" t="str" cm="1">
        <f t="array" ref="K4">IF(OR(B4="",C4=""),"",_xlfn.IFS(
AND(B4="Abono",C4="Propio"),"N.º de unidades vendidas",
AND(B4="Abono",C4="Integrado"),"N.º de unidades vendidas x % medio de utilización",
AND(B4="Tít. multiviaje",C4="Propio"),"N.º de unidades vendidas",
AND(B4="Tít. multiviaje",C4="Integrado"),"N.º de unidades vendidas x % medio de utilización",
AND(B4="T. monedero I",C4="Propio"),"N.º de cargas de crédito aplicadas",
AND(B4="T. monedero I",C4="Integrado"),"N.º de cargas de crédito aplicadas x % medio de utilización",
AND(B4="T. monedero II",C4="Propio"),"N.º de validaciones",
AND(B4="T. monedero II",C4="Integrado"),"N.º de validaciones"
))</f>
        <v/>
      </c>
      <c r="L4" s="26"/>
      <c r="M4" s="29"/>
      <c r="N4" s="17"/>
      <c r="O4" s="37" t="str">
        <f>IFERROR((tblJOVEN[[#This Row],[Estimación demanda 2025]]-tblJOVEN[[#This Row],[Estimación demanda 2024]])/tblJOVEN[[#This Row],[Estimación demanda 2024]],"")</f>
        <v/>
      </c>
      <c r="P4" s="38" t="str">
        <f>IFERROR(tblJOVEN[[#This Row],[Estimación demanda 2025]]*(1+tblJOVEN[[#This Row],[Variación interanual 2024-2025]]),"")</f>
        <v/>
      </c>
      <c r="Q4" s="28"/>
      <c r="R4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4" s="23"/>
      <c r="T4" s="37" t="str">
        <f>IFERROR(IF(OR(C4="Propio",AND(C4="Integrado",B4="T. monedero II")),tblJOVEN[[#This Row],[Estimación demanda 2026]],tblJOVEN[[#This Row],[Estimación demanda 2026]]*tblJOVEN[[#This Row],[% medio utilización]]),"")</f>
        <v/>
      </c>
      <c r="U4" s="40">
        <f>tblJOVEN[[#This Row],[Precio habitual sin descuento 
IVA INCLUIDO]]-tblJOVEN[[#This Row],[Precio unitario con descuento 2026
IVA INCLUIDO]]</f>
        <v>0</v>
      </c>
      <c r="V4" s="40" t="str">
        <f>IFERROR(tblJOVEN[[#This Row],[Unidades de demanda]]*tblJOVEN[[#This Row],[Pérdida unitaria de ingresos]],"")</f>
        <v/>
      </c>
      <c r="W4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5" spans="1:23" x14ac:dyDescent="0.35">
      <c r="A5" s="15"/>
      <c r="B5" s="19"/>
      <c r="C5" s="17"/>
      <c r="D5" s="20"/>
      <c r="E5" s="62"/>
      <c r="F5" s="62"/>
      <c r="G5" s="61">
        <f t="shared" si="0"/>
        <v>0.5</v>
      </c>
      <c r="H5" s="57"/>
      <c r="I5" s="58"/>
      <c r="J5" s="54"/>
      <c r="K5" s="37" t="str" cm="1">
        <f t="array" ref="K5">IF(OR(B5="",C5=""),"",_xlfn.IFS(
AND(B5="Abono",C5="Propio"),"N.º de unidades vendidas",
AND(B5="Abono",C5="Integrado"),"N.º de unidades vendidas x % medio de utilización",
AND(B5="Tít. multiviaje",C5="Propio"),"N.º de unidades vendidas",
AND(B5="Tít. multiviaje",C5="Integrado"),"N.º de unidades vendidas x % medio de utilización",
AND(B5="T. monedero I",C5="Propio"),"N.º de cargas de crédito aplicadas",
AND(B5="T. monedero I",C5="Integrado"),"N.º de cargas de crédito aplicadas x % medio de utilización",
AND(B5="T. monedero II",C5="Propio"),"N.º de validaciones",
AND(B5="T. monedero II",C5="Integrado"),"N.º de validaciones"
))</f>
        <v/>
      </c>
      <c r="L5" s="26"/>
      <c r="M5" s="29"/>
      <c r="N5" s="17"/>
      <c r="O5" s="37" t="str">
        <f>IFERROR((tblJOVEN[[#This Row],[Estimación demanda 2025]]-tblJOVEN[[#This Row],[Estimación demanda 2024]])/tblJOVEN[[#This Row],[Estimación demanda 2024]],"")</f>
        <v/>
      </c>
      <c r="P5" s="38" t="str">
        <f>IFERROR(tblJOVEN[[#This Row],[Estimación demanda 2025]]*(1+tblJOVEN[[#This Row],[Variación interanual 2024-2025]]),"")</f>
        <v/>
      </c>
      <c r="Q5" s="28"/>
      <c r="R5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5" s="23"/>
      <c r="T5" s="37" t="str">
        <f>IFERROR(IF(OR(C5="Propio",AND(C5="Integrado",B5="T. monedero II")),tblJOVEN[[#This Row],[Estimación demanda 2026]],tblJOVEN[[#This Row],[Estimación demanda 2026]]*tblJOVEN[[#This Row],[% medio utilización]]),"")</f>
        <v/>
      </c>
      <c r="U5" s="40">
        <f>tblJOVEN[[#This Row],[Precio habitual sin descuento 
IVA INCLUIDO]]-tblJOVEN[[#This Row],[Precio unitario con descuento 2026
IVA INCLUIDO]]</f>
        <v>0</v>
      </c>
      <c r="V5" s="40" t="str">
        <f>IFERROR(tblJOVEN[[#This Row],[Unidades de demanda]]*tblJOVEN[[#This Row],[Pérdida unitaria de ingresos]],"")</f>
        <v/>
      </c>
      <c r="W5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6" spans="1:23" x14ac:dyDescent="0.35">
      <c r="A6" s="15"/>
      <c r="B6" s="19"/>
      <c r="C6" s="17"/>
      <c r="D6" s="20"/>
      <c r="E6" s="62"/>
      <c r="F6" s="62"/>
      <c r="G6" s="61">
        <f t="shared" si="0"/>
        <v>0.5</v>
      </c>
      <c r="H6" s="57"/>
      <c r="I6" s="58"/>
      <c r="J6" s="54"/>
      <c r="K6" s="37" t="str" cm="1">
        <f t="array" ref="K6">IF(OR(B6="",C6=""),"",_xlfn.IFS(
AND(B6="Abono",C6="Propio"),"N.º de unidades vendidas",
AND(B6="Abono",C6="Integrado"),"N.º de unidades vendidas x % medio de utilización",
AND(B6="Tít. multiviaje",C6="Propio"),"N.º de unidades vendidas",
AND(B6="Tít. multiviaje",C6="Integrado"),"N.º de unidades vendidas x % medio de utilización",
AND(B6="T. monedero I",C6="Propio"),"N.º de cargas de crédito aplicadas",
AND(B6="T. monedero I",C6="Integrado"),"N.º de cargas de crédito aplicadas x % medio de utilización",
AND(B6="T. monedero II",C6="Propio"),"N.º de validaciones",
AND(B6="T. monedero II",C6="Integrado"),"N.º de validaciones"
))</f>
        <v/>
      </c>
      <c r="L6" s="26"/>
      <c r="M6" s="29"/>
      <c r="N6" s="17"/>
      <c r="O6" s="37" t="str">
        <f>IFERROR((tblJOVEN[[#This Row],[Estimación demanda 2025]]-tblJOVEN[[#This Row],[Estimación demanda 2024]])/tblJOVEN[[#This Row],[Estimación demanda 2024]],"")</f>
        <v/>
      </c>
      <c r="P6" s="38" t="str">
        <f>IFERROR(tblJOVEN[[#This Row],[Estimación demanda 2025]]*(1+tblJOVEN[[#This Row],[Variación interanual 2024-2025]]),"")</f>
        <v/>
      </c>
      <c r="Q6" s="28"/>
      <c r="R6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6" s="23"/>
      <c r="T6" s="37" t="str">
        <f>IFERROR(IF(OR(C6="Propio",AND(C6="Integrado",B6="T. monedero II")),tblJOVEN[[#This Row],[Estimación demanda 2026]],tblJOVEN[[#This Row],[Estimación demanda 2026]]*tblJOVEN[[#This Row],[% medio utilización]]),"")</f>
        <v/>
      </c>
      <c r="U6" s="40">
        <f>tblJOVEN[[#This Row],[Precio habitual sin descuento 
IVA INCLUIDO]]-tblJOVEN[[#This Row],[Precio unitario con descuento 2026
IVA INCLUIDO]]</f>
        <v>0</v>
      </c>
      <c r="V6" s="40" t="str">
        <f>IFERROR(tblJOVEN[[#This Row],[Unidades de demanda]]*tblJOVEN[[#This Row],[Pérdida unitaria de ingresos]],"")</f>
        <v/>
      </c>
      <c r="W6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7" spans="1:23" x14ac:dyDescent="0.35">
      <c r="A7" s="15"/>
      <c r="B7" s="19"/>
      <c r="C7" s="17"/>
      <c r="D7" s="20"/>
      <c r="E7" s="62"/>
      <c r="F7" s="62"/>
      <c r="G7" s="61">
        <f t="shared" si="0"/>
        <v>0.5</v>
      </c>
      <c r="H7" s="57"/>
      <c r="I7" s="58"/>
      <c r="J7" s="54"/>
      <c r="K7" s="37" t="str" cm="1">
        <f t="array" ref="K7">IF(OR(B7="",C7=""),"",_xlfn.IFS(
AND(B7="Abono",C7="Propio"),"N.º de unidades vendidas",
AND(B7="Abono",C7="Integrado"),"N.º de unidades vendidas x % medio de utilización",
AND(B7="Tít. multiviaje",C7="Propio"),"N.º de unidades vendidas",
AND(B7="Tít. multiviaje",C7="Integrado"),"N.º de unidades vendidas x % medio de utilización",
AND(B7="T. monedero I",C7="Propio"),"N.º de cargas de crédito aplicadas",
AND(B7="T. monedero I",C7="Integrado"),"N.º de cargas de crédito aplicadas x % medio de utilización",
AND(B7="T. monedero II",C7="Propio"),"N.º de validaciones",
AND(B7="T. monedero II",C7="Integrado"),"N.º de validaciones"
))</f>
        <v/>
      </c>
      <c r="L7" s="26"/>
      <c r="M7" s="29"/>
      <c r="N7" s="17"/>
      <c r="O7" s="37" t="str">
        <f>IFERROR((tblJOVEN[[#This Row],[Estimación demanda 2025]]-tblJOVEN[[#This Row],[Estimación demanda 2024]])/tblJOVEN[[#This Row],[Estimación demanda 2024]],"")</f>
        <v/>
      </c>
      <c r="P7" s="38" t="str">
        <f>IFERROR(tblJOVEN[[#This Row],[Estimación demanda 2025]]*(1+tblJOVEN[[#This Row],[Variación interanual 2024-2025]]),"")</f>
        <v/>
      </c>
      <c r="Q7" s="28"/>
      <c r="R7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7" s="23"/>
      <c r="T7" s="37" t="str">
        <f>IFERROR(IF(OR(C7="Propio",AND(C7="Integrado",B7="T. monedero II")),tblJOVEN[[#This Row],[Estimación demanda 2026]],tblJOVEN[[#This Row],[Estimación demanda 2026]]*tblJOVEN[[#This Row],[% medio utilización]]),"")</f>
        <v/>
      </c>
      <c r="U7" s="40">
        <f>tblJOVEN[[#This Row],[Precio habitual sin descuento 
IVA INCLUIDO]]-tblJOVEN[[#This Row],[Precio unitario con descuento 2026
IVA INCLUIDO]]</f>
        <v>0</v>
      </c>
      <c r="V7" s="40" t="str">
        <f>IFERROR(tblJOVEN[[#This Row],[Unidades de demanda]]*tblJOVEN[[#This Row],[Pérdida unitaria de ingresos]],"")</f>
        <v/>
      </c>
      <c r="W7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8" spans="1:23" x14ac:dyDescent="0.35">
      <c r="A8" s="15"/>
      <c r="B8" s="19"/>
      <c r="C8" s="19"/>
      <c r="D8" s="20"/>
      <c r="E8" s="62"/>
      <c r="F8" s="62"/>
      <c r="G8" s="61">
        <f t="shared" si="0"/>
        <v>0.5</v>
      </c>
      <c r="H8" s="57"/>
      <c r="I8" s="58"/>
      <c r="J8" s="54"/>
      <c r="K8" s="37" t="str" cm="1">
        <f t="array" ref="K8">IF(OR(B8="",C8=""),"",_xlfn.IFS(
AND(B8="Abono",C8="Propio"),"N.º de unidades vendidas",
AND(B8="Abono",C8="Integrado"),"N.º de unidades vendidas x % medio de utilización",
AND(B8="Tít. multiviaje",C8="Propio"),"N.º de unidades vendidas",
AND(B8="Tít. multiviaje",C8="Integrado"),"N.º de unidades vendidas x % medio de utilización",
AND(B8="T. monedero I",C8="Propio"),"N.º de cargas de crédito aplicadas",
AND(B8="T. monedero I",C8="Integrado"),"N.º de cargas de crédito aplicadas x % medio de utilización",
AND(B8="T. monedero II",C8="Propio"),"N.º de validaciones",
AND(B8="T. monedero II",C8="Integrado"),"N.º de validaciones"
))</f>
        <v/>
      </c>
      <c r="L8" s="26"/>
      <c r="M8" s="29"/>
      <c r="N8" s="17"/>
      <c r="O8" s="37" t="str">
        <f>IFERROR((tblJOVEN[[#This Row],[Estimación demanda 2025]]-tblJOVEN[[#This Row],[Estimación demanda 2024]])/tblJOVEN[[#This Row],[Estimación demanda 2024]],"")</f>
        <v/>
      </c>
      <c r="P8" s="38" t="str">
        <f>IFERROR(tblJOVEN[[#This Row],[Estimación demanda 2025]]*(1+tblJOVEN[[#This Row],[Variación interanual 2024-2025]]),"")</f>
        <v/>
      </c>
      <c r="Q8" s="28"/>
      <c r="R8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8" s="23"/>
      <c r="T8" s="37" t="str">
        <f>IFERROR(IF(OR(C8="Propio",AND(C8="Integrado",B8="T. monedero II")),tblJOVEN[[#This Row],[Estimación demanda 2026]],tblJOVEN[[#This Row],[Estimación demanda 2026]]*tblJOVEN[[#This Row],[% medio utilización]]),"")</f>
        <v/>
      </c>
      <c r="U8" s="40">
        <f>tblJOVEN[[#This Row],[Precio habitual sin descuento 
IVA INCLUIDO]]-tblJOVEN[[#This Row],[Precio unitario con descuento 2026
IVA INCLUIDO]]</f>
        <v>0</v>
      </c>
      <c r="V8" s="40" t="str">
        <f>IFERROR(tblJOVEN[[#This Row],[Unidades de demanda]]*tblJOVEN[[#This Row],[Pérdida unitaria de ingresos]],"")</f>
        <v/>
      </c>
      <c r="W8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9" spans="1:23" x14ac:dyDescent="0.35">
      <c r="A9" s="15"/>
      <c r="B9" s="19"/>
      <c r="C9" s="19"/>
      <c r="D9" s="20"/>
      <c r="E9" s="62"/>
      <c r="F9" s="62"/>
      <c r="G9" s="61">
        <f t="shared" si="0"/>
        <v>0.5</v>
      </c>
      <c r="H9" s="57"/>
      <c r="I9" s="58"/>
      <c r="J9" s="54"/>
      <c r="K9" s="37" t="str" cm="1">
        <f t="array" ref="K9">IF(OR(B9="",C9=""),"",_xlfn.IFS(
AND(B9="Abono",C9="Propio"),"N.º de unidades vendidas",
AND(B9="Abono",C9="Integrado"),"N.º de unidades vendidas x % medio de utilización",
AND(B9="Tít. multiviaje",C9="Propio"),"N.º de unidades vendidas",
AND(B9="Tít. multiviaje",C9="Integrado"),"N.º de unidades vendidas x % medio de utilización",
AND(B9="T. monedero I",C9="Propio"),"N.º de cargas de crédito aplicadas",
AND(B9="T. monedero I",C9="Integrado"),"N.º de cargas de crédito aplicadas x % medio de utilización",
AND(B9="T. monedero II",C9="Propio"),"N.º de validaciones",
AND(B9="T. monedero II",C9="Integrado"),"N.º de validaciones"
))</f>
        <v/>
      </c>
      <c r="L9" s="26"/>
      <c r="M9" s="29"/>
      <c r="N9" s="17"/>
      <c r="O9" s="37" t="str">
        <f>IFERROR((tblJOVEN[[#This Row],[Estimación demanda 2025]]-tblJOVEN[[#This Row],[Estimación demanda 2024]])/tblJOVEN[[#This Row],[Estimación demanda 2024]],"")</f>
        <v/>
      </c>
      <c r="P9" s="38" t="str">
        <f>IFERROR(tblJOVEN[[#This Row],[Estimación demanda 2025]]*(1+tblJOVEN[[#This Row],[Variación interanual 2024-2025]]),"")</f>
        <v/>
      </c>
      <c r="Q9" s="28"/>
      <c r="R9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9" s="23"/>
      <c r="T9" s="37" t="str">
        <f>IFERROR(IF(OR(C9="Propio",AND(C9="Integrado",B9="T. monedero II")),tblJOVEN[[#This Row],[Estimación demanda 2026]],tblJOVEN[[#This Row],[Estimación demanda 2026]]*tblJOVEN[[#This Row],[% medio utilización]]),"")</f>
        <v/>
      </c>
      <c r="U9" s="40">
        <f>tblJOVEN[[#This Row],[Precio habitual sin descuento 
IVA INCLUIDO]]-tblJOVEN[[#This Row],[Precio unitario con descuento 2026
IVA INCLUIDO]]</f>
        <v>0</v>
      </c>
      <c r="V9" s="40" t="str">
        <f>IFERROR(tblJOVEN[[#This Row],[Unidades de demanda]]*tblJOVEN[[#This Row],[Pérdida unitaria de ingresos]],"")</f>
        <v/>
      </c>
      <c r="W9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10" spans="1:23" x14ac:dyDescent="0.35">
      <c r="A10" s="15"/>
      <c r="B10" s="19"/>
      <c r="C10" s="19"/>
      <c r="D10" s="20"/>
      <c r="E10" s="62"/>
      <c r="F10" s="62"/>
      <c r="G10" s="61">
        <f t="shared" si="0"/>
        <v>0.5</v>
      </c>
      <c r="H10" s="57"/>
      <c r="I10" s="58"/>
      <c r="J10" s="54"/>
      <c r="K10" s="37" t="str" cm="1">
        <f t="array" ref="K10">IF(OR(B10="",C10=""),"",_xlfn.IFS(
AND(B10="Abono",C10="Propio"),"N.º de unidades vendidas",
AND(B10="Abono",C10="Integrado"),"N.º de unidades vendidas x % medio de utilización",
AND(B10="Tít. multiviaje",C10="Propio"),"N.º de unidades vendidas",
AND(B10="Tít. multiviaje",C10="Integrado"),"N.º de unidades vendidas x % medio de utilización",
AND(B10="T. monedero I",C10="Propio"),"N.º de cargas de crédito aplicadas",
AND(B10="T. monedero I",C10="Integrado"),"N.º de cargas de crédito aplicadas x % medio de utilización",
AND(B10="T. monedero II",C10="Propio"),"N.º de validaciones",
AND(B10="T. monedero II",C10="Integrado"),"N.º de validaciones"
))</f>
        <v/>
      </c>
      <c r="L10" s="26"/>
      <c r="M10" s="29"/>
      <c r="N10" s="17"/>
      <c r="O10" s="37" t="str">
        <f>IFERROR((tblJOVEN[[#This Row],[Estimación demanda 2025]]-tblJOVEN[[#This Row],[Estimación demanda 2024]])/tblJOVEN[[#This Row],[Estimación demanda 2024]],"")</f>
        <v/>
      </c>
      <c r="P10" s="38" t="str">
        <f>IFERROR(tblJOVEN[[#This Row],[Estimación demanda 2025]]*(1+tblJOVEN[[#This Row],[Variación interanual 2024-2025]]),"")</f>
        <v/>
      </c>
      <c r="Q10" s="28"/>
      <c r="R10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10" s="23"/>
      <c r="T10" s="37" t="str">
        <f>IFERROR(IF(OR(C10="Propio",AND(C10="Integrado",B10="T. monedero II")),tblJOVEN[[#This Row],[Estimación demanda 2026]],tblJOVEN[[#This Row],[Estimación demanda 2026]]*tblJOVEN[[#This Row],[% medio utilización]]),"")</f>
        <v/>
      </c>
      <c r="U10" s="40">
        <f>tblJOVEN[[#This Row],[Precio habitual sin descuento 
IVA INCLUIDO]]-tblJOVEN[[#This Row],[Precio unitario con descuento 2026
IVA INCLUIDO]]</f>
        <v>0</v>
      </c>
      <c r="V10" s="40" t="str">
        <f>IFERROR(tblJOVEN[[#This Row],[Unidades de demanda]]*tblJOVEN[[#This Row],[Pérdida unitaria de ingresos]],"")</f>
        <v/>
      </c>
      <c r="W10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11" spans="1:23" x14ac:dyDescent="0.35">
      <c r="A11" s="15"/>
      <c r="B11" s="19"/>
      <c r="C11" s="19"/>
      <c r="D11" s="20"/>
      <c r="E11" s="62"/>
      <c r="F11" s="62"/>
      <c r="G11" s="61">
        <f t="shared" si="0"/>
        <v>0.5</v>
      </c>
      <c r="H11" s="57"/>
      <c r="I11" s="58"/>
      <c r="J11" s="54"/>
      <c r="K11" s="37" t="str" cm="1">
        <f t="array" ref="K11">IF(OR(B11="",C11=""),"",_xlfn.IFS(
AND(B11="Abono",C11="Propio"),"N.º de unidades vendidas",
AND(B11="Abono",C11="Integrado"),"N.º de unidades vendidas x % medio de utilización",
AND(B11="Tít. multiviaje",C11="Propio"),"N.º de unidades vendidas",
AND(B11="Tít. multiviaje",C11="Integrado"),"N.º de unidades vendidas x % medio de utilización",
AND(B11="T. monedero I",C11="Propio"),"N.º de cargas de crédito aplicadas",
AND(B11="T. monedero I",C11="Integrado"),"N.º de cargas de crédito aplicadas x % medio de utilización",
AND(B11="T. monedero II",C11="Propio"),"N.º de validaciones",
AND(B11="T. monedero II",C11="Integrado"),"N.º de validaciones"
))</f>
        <v/>
      </c>
      <c r="L11" s="26"/>
      <c r="M11" s="29"/>
      <c r="N11" s="17"/>
      <c r="O11" s="37" t="str">
        <f>IFERROR((tblJOVEN[[#This Row],[Estimación demanda 2025]]-tblJOVEN[[#This Row],[Estimación demanda 2024]])/tblJOVEN[[#This Row],[Estimación demanda 2024]],"")</f>
        <v/>
      </c>
      <c r="P11" s="38" t="str">
        <f>IFERROR(tblJOVEN[[#This Row],[Estimación demanda 2025]]*(1+tblJOVEN[[#This Row],[Variación interanual 2024-2025]]),"")</f>
        <v/>
      </c>
      <c r="Q11" s="28"/>
      <c r="R11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11" s="23"/>
      <c r="T11" s="37" t="str">
        <f>IFERROR(IF(OR(C11="Propio",AND(C11="Integrado",B11="T. monedero II")),tblJOVEN[[#This Row],[Estimación demanda 2026]],tblJOVEN[[#This Row],[Estimación demanda 2026]]*tblJOVEN[[#This Row],[% medio utilización]]),"")</f>
        <v/>
      </c>
      <c r="U11" s="40">
        <f>tblJOVEN[[#This Row],[Precio habitual sin descuento 
IVA INCLUIDO]]-tblJOVEN[[#This Row],[Precio unitario con descuento 2026
IVA INCLUIDO]]</f>
        <v>0</v>
      </c>
      <c r="V11" s="40" t="str">
        <f>IFERROR(tblJOVEN[[#This Row],[Unidades de demanda]]*tblJOVEN[[#This Row],[Pérdida unitaria de ingresos]],"")</f>
        <v/>
      </c>
      <c r="W11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12" spans="1:23" x14ac:dyDescent="0.35">
      <c r="A12" s="15"/>
      <c r="B12" s="19"/>
      <c r="C12" s="19"/>
      <c r="D12" s="20"/>
      <c r="E12" s="62"/>
      <c r="F12" s="62"/>
      <c r="G12" s="61">
        <f t="shared" si="0"/>
        <v>0.5</v>
      </c>
      <c r="H12" s="57"/>
      <c r="I12" s="58"/>
      <c r="J12" s="54"/>
      <c r="K12" s="37" t="str" cm="1">
        <f t="array" ref="K12">IF(OR(B12="",C12=""),"",_xlfn.IFS(
AND(B12="Abono",C12="Propio"),"N.º de unidades vendidas",
AND(B12="Abono",C12="Integrado"),"N.º de unidades vendidas x % medio de utilización",
AND(B12="Tít. multiviaje",C12="Propio"),"N.º de unidades vendidas",
AND(B12="Tít. multiviaje",C12="Integrado"),"N.º de unidades vendidas x % medio de utilización",
AND(B12="T. monedero I",C12="Propio"),"N.º de cargas de crédito aplicadas",
AND(B12="T. monedero I",C12="Integrado"),"N.º de cargas de crédito aplicadas x % medio de utilización",
AND(B12="T. monedero II",C12="Propio"),"N.º de validaciones",
AND(B12="T. monedero II",C12="Integrado"),"N.º de validaciones"
))</f>
        <v/>
      </c>
      <c r="L12" s="26"/>
      <c r="M12" s="29"/>
      <c r="N12" s="17"/>
      <c r="O12" s="37" t="str">
        <f>IFERROR((tblJOVEN[[#This Row],[Estimación demanda 2025]]-tblJOVEN[[#This Row],[Estimación demanda 2024]])/tblJOVEN[[#This Row],[Estimación demanda 2024]],"")</f>
        <v/>
      </c>
      <c r="P12" s="38" t="str">
        <f>IFERROR(tblJOVEN[[#This Row],[Estimación demanda 2025]]*(1+tblJOVEN[[#This Row],[Variación interanual 2024-2025]]),"")</f>
        <v/>
      </c>
      <c r="Q12" s="28"/>
      <c r="R12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12" s="23"/>
      <c r="T12" s="37" t="str">
        <f>IFERROR(IF(OR(C12="Propio",AND(C12="Integrado",B12="T. monedero II")),tblJOVEN[[#This Row],[Estimación demanda 2026]],tblJOVEN[[#This Row],[Estimación demanda 2026]]*tblJOVEN[[#This Row],[% medio utilización]]),"")</f>
        <v/>
      </c>
      <c r="U12" s="40">
        <f>tblJOVEN[[#This Row],[Precio habitual sin descuento 
IVA INCLUIDO]]-tblJOVEN[[#This Row],[Precio unitario con descuento 2026
IVA INCLUIDO]]</f>
        <v>0</v>
      </c>
      <c r="V12" s="40" t="str">
        <f>IFERROR(tblJOVEN[[#This Row],[Unidades de demanda]]*tblJOVEN[[#This Row],[Pérdida unitaria de ingresos]],"")</f>
        <v/>
      </c>
      <c r="W12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13" spans="1:23" x14ac:dyDescent="0.35">
      <c r="A13" s="15"/>
      <c r="B13" s="19"/>
      <c r="C13" s="19"/>
      <c r="D13" s="20"/>
      <c r="E13" s="62"/>
      <c r="F13" s="62"/>
      <c r="G13" s="61">
        <f t="shared" si="0"/>
        <v>0.5</v>
      </c>
      <c r="H13" s="57"/>
      <c r="I13" s="58"/>
      <c r="J13" s="54"/>
      <c r="K13" s="37" t="str" cm="1">
        <f t="array" ref="K13">IF(OR(B13="",C13=""),"",_xlfn.IFS(
AND(B13="Abono",C13="Propio"),"N.º de unidades vendidas",
AND(B13="Abono",C13="Integrado"),"N.º de unidades vendidas x % medio de utilización",
AND(B13="Tít. multiviaje",C13="Propio"),"N.º de unidades vendidas",
AND(B13="Tít. multiviaje",C13="Integrado"),"N.º de unidades vendidas x % medio de utilización",
AND(B13="T. monedero I",C13="Propio"),"N.º de cargas de crédito aplicadas",
AND(B13="T. monedero I",C13="Integrado"),"N.º de cargas de crédito aplicadas x % medio de utilización",
AND(B13="T. monedero II",C13="Propio"),"N.º de validaciones",
AND(B13="T. monedero II",C13="Integrado"),"N.º de validaciones"
))</f>
        <v/>
      </c>
      <c r="L13" s="26"/>
      <c r="M13" s="29"/>
      <c r="N13" s="17"/>
      <c r="O13" s="37" t="str">
        <f>IFERROR((tblJOVEN[[#This Row],[Estimación demanda 2025]]-tblJOVEN[[#This Row],[Estimación demanda 2024]])/tblJOVEN[[#This Row],[Estimación demanda 2024]],"")</f>
        <v/>
      </c>
      <c r="P13" s="38" t="str">
        <f>IFERROR(tblJOVEN[[#This Row],[Estimación demanda 2025]]*(1+tblJOVEN[[#This Row],[Variación interanual 2024-2025]]),"")</f>
        <v/>
      </c>
      <c r="Q13" s="28"/>
      <c r="R13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13" s="23"/>
      <c r="T13" s="37" t="str">
        <f>IFERROR(IF(OR(C13="Propio",AND(C13="Integrado",B13="T. monedero II")),tblJOVEN[[#This Row],[Estimación demanda 2026]],tblJOVEN[[#This Row],[Estimación demanda 2026]]*tblJOVEN[[#This Row],[% medio utilización]]),"")</f>
        <v/>
      </c>
      <c r="U13" s="40">
        <f>tblJOVEN[[#This Row],[Precio habitual sin descuento 
IVA INCLUIDO]]-tblJOVEN[[#This Row],[Precio unitario con descuento 2026
IVA INCLUIDO]]</f>
        <v>0</v>
      </c>
      <c r="V13" s="40" t="str">
        <f>IFERROR(tblJOVEN[[#This Row],[Unidades de demanda]]*tblJOVEN[[#This Row],[Pérdida unitaria de ingresos]],"")</f>
        <v/>
      </c>
      <c r="W13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14" spans="1:23" x14ac:dyDescent="0.35">
      <c r="A14" s="15"/>
      <c r="B14" s="19"/>
      <c r="C14" s="19"/>
      <c r="D14" s="20"/>
      <c r="E14" s="62"/>
      <c r="F14" s="62"/>
      <c r="G14" s="61">
        <f t="shared" si="0"/>
        <v>0.5</v>
      </c>
      <c r="H14" s="57"/>
      <c r="I14" s="58"/>
      <c r="J14" s="54"/>
      <c r="K14" s="37" t="str" cm="1">
        <f t="array" ref="K14">IF(OR(B14="",C14=""),"",_xlfn.IFS(
AND(B14="Abono",C14="Propio"),"N.º de unidades vendidas",
AND(B14="Abono",C14="Integrado"),"N.º de unidades vendidas x % medio de utilización",
AND(B14="Tít. multiviaje",C14="Propio"),"N.º de unidades vendidas",
AND(B14="Tít. multiviaje",C14="Integrado"),"N.º de unidades vendidas x % medio de utilización",
AND(B14="T. monedero I",C14="Propio"),"N.º de cargas de crédito aplicadas",
AND(B14="T. monedero I",C14="Integrado"),"N.º de cargas de crédito aplicadas x % medio de utilización",
AND(B14="T. monedero II",C14="Propio"),"N.º de validaciones",
AND(B14="T. monedero II",C14="Integrado"),"N.º de validaciones"
))</f>
        <v/>
      </c>
      <c r="L14" s="26"/>
      <c r="M14" s="29"/>
      <c r="N14" s="17"/>
      <c r="O14" s="37" t="str">
        <f>IFERROR((tblJOVEN[[#This Row],[Estimación demanda 2025]]-tblJOVEN[[#This Row],[Estimación demanda 2024]])/tblJOVEN[[#This Row],[Estimación demanda 2024]],"")</f>
        <v/>
      </c>
      <c r="P14" s="38" t="str">
        <f>IFERROR(tblJOVEN[[#This Row],[Estimación demanda 2025]]*(1+tblJOVEN[[#This Row],[Variación interanual 2024-2025]]),"")</f>
        <v/>
      </c>
      <c r="Q14" s="28"/>
      <c r="R14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14" s="23"/>
      <c r="T14" s="37" t="str">
        <f>IFERROR(IF(OR(C14="Propio",AND(C14="Integrado",B14="T. monedero II")),tblJOVEN[[#This Row],[Estimación demanda 2026]],tblJOVEN[[#This Row],[Estimación demanda 2026]]*tblJOVEN[[#This Row],[% medio utilización]]),"")</f>
        <v/>
      </c>
      <c r="U14" s="40">
        <f>tblJOVEN[[#This Row],[Precio habitual sin descuento 
IVA INCLUIDO]]-tblJOVEN[[#This Row],[Precio unitario con descuento 2026
IVA INCLUIDO]]</f>
        <v>0</v>
      </c>
      <c r="V14" s="40" t="str">
        <f>IFERROR(tblJOVEN[[#This Row],[Unidades de demanda]]*tblJOVEN[[#This Row],[Pérdida unitaria de ingresos]],"")</f>
        <v/>
      </c>
      <c r="W14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15" spans="1:23" x14ac:dyDescent="0.35">
      <c r="A15" s="15"/>
      <c r="B15" s="19"/>
      <c r="C15" s="19"/>
      <c r="D15" s="20"/>
      <c r="E15" s="62"/>
      <c r="F15" s="62"/>
      <c r="G15" s="61">
        <f t="shared" si="0"/>
        <v>0.5</v>
      </c>
      <c r="H15" s="57"/>
      <c r="I15" s="58"/>
      <c r="J15" s="54"/>
      <c r="K15" s="37" t="str" cm="1">
        <f t="array" ref="K15">IF(OR(B15="",C15=""),"",_xlfn.IFS(
AND(B15="Abono",C15="Propio"),"N.º de unidades vendidas",
AND(B15="Abono",C15="Integrado"),"N.º de unidades vendidas x % medio de utilización",
AND(B15="Tít. multiviaje",C15="Propio"),"N.º de unidades vendidas",
AND(B15="Tít. multiviaje",C15="Integrado"),"N.º de unidades vendidas x % medio de utilización",
AND(B15="T. monedero I",C15="Propio"),"N.º de cargas de crédito aplicadas",
AND(B15="T. monedero I",C15="Integrado"),"N.º de cargas de crédito aplicadas x % medio de utilización",
AND(B15="T. monedero II",C15="Propio"),"N.º de validaciones",
AND(B15="T. monedero II",C15="Integrado"),"N.º de validaciones"
))</f>
        <v/>
      </c>
      <c r="L15" s="26"/>
      <c r="M15" s="29"/>
      <c r="N15" s="17"/>
      <c r="O15" s="37" t="str">
        <f>IFERROR((tblJOVEN[[#This Row],[Estimación demanda 2025]]-tblJOVEN[[#This Row],[Estimación demanda 2024]])/tblJOVEN[[#This Row],[Estimación demanda 2024]],"")</f>
        <v/>
      </c>
      <c r="P15" s="38" t="str">
        <f>IFERROR(tblJOVEN[[#This Row],[Estimación demanda 2025]]*(1+tblJOVEN[[#This Row],[Variación interanual 2024-2025]]),"")</f>
        <v/>
      </c>
      <c r="Q15" s="28"/>
      <c r="R15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15" s="23"/>
      <c r="T15" s="37" t="str">
        <f>IFERROR(IF(OR(C15="Propio",AND(C15="Integrado",B15="T. monedero II")),tblJOVEN[[#This Row],[Estimación demanda 2026]],tblJOVEN[[#This Row],[Estimación demanda 2026]]*tblJOVEN[[#This Row],[% medio utilización]]),"")</f>
        <v/>
      </c>
      <c r="U15" s="40">
        <f>tblJOVEN[[#This Row],[Precio habitual sin descuento 
IVA INCLUIDO]]-tblJOVEN[[#This Row],[Precio unitario con descuento 2026
IVA INCLUIDO]]</f>
        <v>0</v>
      </c>
      <c r="V15" s="40" t="str">
        <f>IFERROR(tblJOVEN[[#This Row],[Unidades de demanda]]*tblJOVEN[[#This Row],[Pérdida unitaria de ingresos]],"")</f>
        <v/>
      </c>
      <c r="W15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16" spans="1:23" x14ac:dyDescent="0.35">
      <c r="A16" s="15"/>
      <c r="B16" s="19"/>
      <c r="C16" s="19"/>
      <c r="D16" s="20"/>
      <c r="E16" s="62"/>
      <c r="F16" s="62"/>
      <c r="G16" s="61">
        <f t="shared" si="0"/>
        <v>0.5</v>
      </c>
      <c r="H16" s="57"/>
      <c r="I16" s="58"/>
      <c r="J16" s="54"/>
      <c r="K16" s="37" t="str" cm="1">
        <f t="array" ref="K16">IF(OR(B16="",C16=""),"",_xlfn.IFS(
AND(B16="Abono",C16="Propio"),"N.º de unidades vendidas",
AND(B16="Abono",C16="Integrado"),"N.º de unidades vendidas x % medio de utilización",
AND(B16="Tít. multiviaje",C16="Propio"),"N.º de unidades vendidas",
AND(B16="Tít. multiviaje",C16="Integrado"),"N.º de unidades vendidas x % medio de utilización",
AND(B16="T. monedero I",C16="Propio"),"N.º de cargas de crédito aplicadas",
AND(B16="T. monedero I",C16="Integrado"),"N.º de cargas de crédito aplicadas x % medio de utilización",
AND(B16="T. monedero II",C16="Propio"),"N.º de validaciones",
AND(B16="T. monedero II",C16="Integrado"),"N.º de validaciones"
))</f>
        <v/>
      </c>
      <c r="L16" s="26"/>
      <c r="M16" s="29"/>
      <c r="N16" s="17"/>
      <c r="O16" s="37" t="str">
        <f>IFERROR((tblJOVEN[[#This Row],[Estimación demanda 2025]]-tblJOVEN[[#This Row],[Estimación demanda 2024]])/tblJOVEN[[#This Row],[Estimación demanda 2024]],"")</f>
        <v/>
      </c>
      <c r="P16" s="38" t="str">
        <f>IFERROR(tblJOVEN[[#This Row],[Estimación demanda 2025]]*(1+tblJOVEN[[#This Row],[Variación interanual 2024-2025]]),"")</f>
        <v/>
      </c>
      <c r="Q16" s="28"/>
      <c r="R16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16" s="23"/>
      <c r="T16" s="37" t="str">
        <f>IFERROR(IF(OR(C16="Propio",AND(C16="Integrado",B16="T. monedero II")),tblJOVEN[[#This Row],[Estimación demanda 2026]],tblJOVEN[[#This Row],[Estimación demanda 2026]]*tblJOVEN[[#This Row],[% medio utilización]]),"")</f>
        <v/>
      </c>
      <c r="U16" s="40">
        <f>tblJOVEN[[#This Row],[Precio habitual sin descuento 
IVA INCLUIDO]]-tblJOVEN[[#This Row],[Precio unitario con descuento 2026
IVA INCLUIDO]]</f>
        <v>0</v>
      </c>
      <c r="V16" s="40" t="str">
        <f>IFERROR(tblJOVEN[[#This Row],[Unidades de demanda]]*tblJOVEN[[#This Row],[Pérdida unitaria de ingresos]],"")</f>
        <v/>
      </c>
      <c r="W16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17" spans="1:23" x14ac:dyDescent="0.35">
      <c r="A17" s="15"/>
      <c r="B17" s="19"/>
      <c r="C17" s="19"/>
      <c r="D17" s="20"/>
      <c r="E17" s="62"/>
      <c r="F17" s="62"/>
      <c r="G17" s="61">
        <f t="shared" si="0"/>
        <v>0.5</v>
      </c>
      <c r="H17" s="57"/>
      <c r="I17" s="58"/>
      <c r="J17" s="54"/>
      <c r="K17" s="37" t="str" cm="1">
        <f t="array" ref="K17">IF(OR(B17="",C17=""),"",_xlfn.IFS(
AND(B17="Abono",C17="Propio"),"N.º de unidades vendidas",
AND(B17="Abono",C17="Integrado"),"N.º de unidades vendidas x % medio de utilización",
AND(B17="Tít. multiviaje",C17="Propio"),"N.º de unidades vendidas",
AND(B17="Tít. multiviaje",C17="Integrado"),"N.º de unidades vendidas x % medio de utilización",
AND(B17="T. monedero I",C17="Propio"),"N.º de cargas de crédito aplicadas",
AND(B17="T. monedero I",C17="Integrado"),"N.º de cargas de crédito aplicadas x % medio de utilización",
AND(B17="T. monedero II",C17="Propio"),"N.º de validaciones",
AND(B17="T. monedero II",C17="Integrado"),"N.º de validaciones"
))</f>
        <v/>
      </c>
      <c r="L17" s="26"/>
      <c r="M17" s="29"/>
      <c r="N17" s="17"/>
      <c r="O17" s="37" t="str">
        <f>IFERROR((tblJOVEN[[#This Row],[Estimación demanda 2025]]-tblJOVEN[[#This Row],[Estimación demanda 2024]])/tblJOVEN[[#This Row],[Estimación demanda 2024]],"")</f>
        <v/>
      </c>
      <c r="P17" s="38" t="str">
        <f>IFERROR(tblJOVEN[[#This Row],[Estimación demanda 2025]]*(1+tblJOVEN[[#This Row],[Variación interanual 2024-2025]]),"")</f>
        <v/>
      </c>
      <c r="Q17" s="28"/>
      <c r="R17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17" s="23"/>
      <c r="T17" s="37" t="str">
        <f>IFERROR(IF(OR(C17="Propio",AND(C17="Integrado",B17="T. monedero II")),tblJOVEN[[#This Row],[Estimación demanda 2026]],tblJOVEN[[#This Row],[Estimación demanda 2026]]*tblJOVEN[[#This Row],[% medio utilización]]),"")</f>
        <v/>
      </c>
      <c r="U17" s="40">
        <f>tblJOVEN[[#This Row],[Precio habitual sin descuento 
IVA INCLUIDO]]-tblJOVEN[[#This Row],[Precio unitario con descuento 2026
IVA INCLUIDO]]</f>
        <v>0</v>
      </c>
      <c r="V17" s="40" t="str">
        <f>IFERROR(tblJOVEN[[#This Row],[Unidades de demanda]]*tblJOVEN[[#This Row],[Pérdida unitaria de ingresos]],"")</f>
        <v/>
      </c>
      <c r="W17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18" spans="1:23" x14ac:dyDescent="0.35">
      <c r="A18" s="15"/>
      <c r="B18" s="19"/>
      <c r="C18" s="19"/>
      <c r="D18" s="20"/>
      <c r="E18" s="62"/>
      <c r="F18" s="62"/>
      <c r="G18" s="61">
        <f t="shared" si="0"/>
        <v>0.5</v>
      </c>
      <c r="H18" s="57"/>
      <c r="I18" s="58"/>
      <c r="J18" s="54"/>
      <c r="K18" s="37" t="str" cm="1">
        <f t="array" ref="K18">IF(OR(B18="",C18=""),"",_xlfn.IFS(
AND(B18="Abono",C18="Propio"),"N.º de unidades vendidas",
AND(B18="Abono",C18="Integrado"),"N.º de unidades vendidas x % medio de utilización",
AND(B18="Tít. multiviaje",C18="Propio"),"N.º de unidades vendidas",
AND(B18="Tít. multiviaje",C18="Integrado"),"N.º de unidades vendidas x % medio de utilización",
AND(B18="T. monedero I",C18="Propio"),"N.º de cargas de crédito aplicadas",
AND(B18="T. monedero I",C18="Integrado"),"N.º de cargas de crédito aplicadas x % medio de utilización",
AND(B18="T. monedero II",C18="Propio"),"N.º de validaciones",
AND(B18="T. monedero II",C18="Integrado"),"N.º de validaciones"
))</f>
        <v/>
      </c>
      <c r="L18" s="26"/>
      <c r="M18" s="29"/>
      <c r="N18" s="17"/>
      <c r="O18" s="37" t="str">
        <f>IFERROR((tblJOVEN[[#This Row],[Estimación demanda 2025]]-tblJOVEN[[#This Row],[Estimación demanda 2024]])/tblJOVEN[[#This Row],[Estimación demanda 2024]],"")</f>
        <v/>
      </c>
      <c r="P18" s="38" t="str">
        <f>IFERROR(tblJOVEN[[#This Row],[Estimación demanda 2025]]*(1+tblJOVEN[[#This Row],[Variación interanual 2024-2025]]),"")</f>
        <v/>
      </c>
      <c r="Q18" s="28"/>
      <c r="R18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18" s="23"/>
      <c r="T18" s="37" t="str">
        <f>IFERROR(IF(OR(C18="Propio",AND(C18="Integrado",B18="T. monedero II")),tblJOVEN[[#This Row],[Estimación demanda 2026]],tblJOVEN[[#This Row],[Estimación demanda 2026]]*tblJOVEN[[#This Row],[% medio utilización]]),"")</f>
        <v/>
      </c>
      <c r="U18" s="40">
        <f>tblJOVEN[[#This Row],[Precio habitual sin descuento 
IVA INCLUIDO]]-tblJOVEN[[#This Row],[Precio unitario con descuento 2026
IVA INCLUIDO]]</f>
        <v>0</v>
      </c>
      <c r="V18" s="40" t="str">
        <f>IFERROR(tblJOVEN[[#This Row],[Unidades de demanda]]*tblJOVEN[[#This Row],[Pérdida unitaria de ingresos]],"")</f>
        <v/>
      </c>
      <c r="W18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19" spans="1:23" x14ac:dyDescent="0.35">
      <c r="A19" s="15"/>
      <c r="B19" s="19"/>
      <c r="C19" s="19"/>
      <c r="D19" s="20"/>
      <c r="E19" s="62"/>
      <c r="F19" s="62"/>
      <c r="G19" s="61">
        <f t="shared" si="0"/>
        <v>0.5</v>
      </c>
      <c r="H19" s="57"/>
      <c r="I19" s="58"/>
      <c r="J19" s="54"/>
      <c r="K19" s="37" t="str" cm="1">
        <f t="array" ref="K19">IF(OR(B19="",C19=""),"",_xlfn.IFS(
AND(B19="Abono",C19="Propio"),"N.º de unidades vendidas",
AND(B19="Abono",C19="Integrado"),"N.º de unidades vendidas x % medio de utilización",
AND(B19="Tít. multiviaje",C19="Propio"),"N.º de unidades vendidas",
AND(B19="Tít. multiviaje",C19="Integrado"),"N.º de unidades vendidas x % medio de utilización",
AND(B19="T. monedero I",C19="Propio"),"N.º de cargas de crédito aplicadas",
AND(B19="T. monedero I",C19="Integrado"),"N.º de cargas de crédito aplicadas x % medio de utilización",
AND(B19="T. monedero II",C19="Propio"),"N.º de validaciones",
AND(B19="T. monedero II",C19="Integrado"),"N.º de validaciones"
))</f>
        <v/>
      </c>
      <c r="L19" s="26"/>
      <c r="M19" s="29"/>
      <c r="N19" s="17"/>
      <c r="O19" s="37" t="str">
        <f>IFERROR((tblJOVEN[[#This Row],[Estimación demanda 2025]]-tblJOVEN[[#This Row],[Estimación demanda 2024]])/tblJOVEN[[#This Row],[Estimación demanda 2024]],"")</f>
        <v/>
      </c>
      <c r="P19" s="38" t="str">
        <f>IFERROR(tblJOVEN[[#This Row],[Estimación demanda 2025]]*(1+tblJOVEN[[#This Row],[Variación interanual 2024-2025]]),"")</f>
        <v/>
      </c>
      <c r="Q19" s="28"/>
      <c r="R19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19" s="23"/>
      <c r="T19" s="37" t="str">
        <f>IFERROR(IF(OR(C19="Propio",AND(C19="Integrado",B19="T. monedero II")),tblJOVEN[[#This Row],[Estimación demanda 2026]],tblJOVEN[[#This Row],[Estimación demanda 2026]]*tblJOVEN[[#This Row],[% medio utilización]]),"")</f>
        <v/>
      </c>
      <c r="U19" s="40">
        <f>tblJOVEN[[#This Row],[Precio habitual sin descuento 
IVA INCLUIDO]]-tblJOVEN[[#This Row],[Precio unitario con descuento 2026
IVA INCLUIDO]]</f>
        <v>0</v>
      </c>
      <c r="V19" s="40" t="str">
        <f>IFERROR(tblJOVEN[[#This Row],[Unidades de demanda]]*tblJOVEN[[#This Row],[Pérdida unitaria de ingresos]],"")</f>
        <v/>
      </c>
      <c r="W19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20" spans="1:23" x14ac:dyDescent="0.35">
      <c r="A20" s="15"/>
      <c r="B20" s="19"/>
      <c r="C20" s="19"/>
      <c r="D20" s="20"/>
      <c r="E20" s="62"/>
      <c r="F20" s="62"/>
      <c r="G20" s="61">
        <f t="shared" si="0"/>
        <v>0.5</v>
      </c>
      <c r="H20" s="57"/>
      <c r="I20" s="58"/>
      <c r="J20" s="54"/>
      <c r="K20" s="37" t="str" cm="1">
        <f t="array" ref="K20">IF(OR(B20="",C20=""),"",_xlfn.IFS(
AND(B20="Abono",C20="Propio"),"N.º de unidades vendidas",
AND(B20="Abono",C20="Integrado"),"N.º de unidades vendidas x % medio de utilización",
AND(B20="Tít. multiviaje",C20="Propio"),"N.º de unidades vendidas",
AND(B20="Tít. multiviaje",C20="Integrado"),"N.º de unidades vendidas x % medio de utilización",
AND(B20="T. monedero I",C20="Propio"),"N.º de cargas de crédito aplicadas",
AND(B20="T. monedero I",C20="Integrado"),"N.º de cargas de crédito aplicadas x % medio de utilización",
AND(B20="T. monedero II",C20="Propio"),"N.º de validaciones",
AND(B20="T. monedero II",C20="Integrado"),"N.º de validaciones"
))</f>
        <v/>
      </c>
      <c r="L20" s="26"/>
      <c r="M20" s="29"/>
      <c r="N20" s="17"/>
      <c r="O20" s="37" t="str">
        <f>IFERROR((tblJOVEN[[#This Row],[Estimación demanda 2025]]-tblJOVEN[[#This Row],[Estimación demanda 2024]])/tblJOVEN[[#This Row],[Estimación demanda 2024]],"")</f>
        <v/>
      </c>
      <c r="P20" s="38" t="str">
        <f>IFERROR(tblJOVEN[[#This Row],[Estimación demanda 2025]]*(1+tblJOVEN[[#This Row],[Variación interanual 2024-2025]]),"")</f>
        <v/>
      </c>
      <c r="Q20" s="28"/>
      <c r="R20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20" s="23"/>
      <c r="T20" s="37" t="str">
        <f>IFERROR(IF(OR(C20="Propio",AND(C20="Integrado",B20="T. monedero II")),tblJOVEN[[#This Row],[Estimación demanda 2026]],tblJOVEN[[#This Row],[Estimación demanda 2026]]*tblJOVEN[[#This Row],[% medio utilización]]),"")</f>
        <v/>
      </c>
      <c r="U20" s="40">
        <f>tblJOVEN[[#This Row],[Precio habitual sin descuento 
IVA INCLUIDO]]-tblJOVEN[[#This Row],[Precio unitario con descuento 2026
IVA INCLUIDO]]</f>
        <v>0</v>
      </c>
      <c r="V20" s="40" t="str">
        <f>IFERROR(tblJOVEN[[#This Row],[Unidades de demanda]]*tblJOVEN[[#This Row],[Pérdida unitaria de ingresos]],"")</f>
        <v/>
      </c>
      <c r="W20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21" spans="1:23" x14ac:dyDescent="0.35">
      <c r="A21" s="15"/>
      <c r="B21" s="19"/>
      <c r="C21" s="19"/>
      <c r="D21" s="20"/>
      <c r="E21" s="62"/>
      <c r="F21" s="62"/>
      <c r="G21" s="61">
        <f t="shared" si="0"/>
        <v>0.5</v>
      </c>
      <c r="H21" s="57"/>
      <c r="I21" s="58"/>
      <c r="J21" s="54"/>
      <c r="K21" s="37" t="str" cm="1">
        <f t="array" ref="K21">IF(OR(B21="",C21=""),"",_xlfn.IFS(
AND(B21="Abono",C21="Propio"),"N.º de unidades vendidas",
AND(B21="Abono",C21="Integrado"),"N.º de unidades vendidas x % medio de utilización",
AND(B21="Tít. multiviaje",C21="Propio"),"N.º de unidades vendidas",
AND(B21="Tít. multiviaje",C21="Integrado"),"N.º de unidades vendidas x % medio de utilización",
AND(B21="T. monedero I",C21="Propio"),"N.º de cargas de crédito aplicadas",
AND(B21="T. monedero I",C21="Integrado"),"N.º de cargas de crédito aplicadas x % medio de utilización",
AND(B21="T. monedero II",C21="Propio"),"N.º de validaciones",
AND(B21="T. monedero II",C21="Integrado"),"N.º de validaciones"
))</f>
        <v/>
      </c>
      <c r="L21" s="26"/>
      <c r="M21" s="29"/>
      <c r="N21" s="17"/>
      <c r="O21" s="37" t="str">
        <f>IFERROR((tblJOVEN[[#This Row],[Estimación demanda 2025]]-tblJOVEN[[#This Row],[Estimación demanda 2024]])/tblJOVEN[[#This Row],[Estimación demanda 2024]],"")</f>
        <v/>
      </c>
      <c r="P21" s="38" t="str">
        <f>IFERROR(tblJOVEN[[#This Row],[Estimación demanda 2025]]*(1+tblJOVEN[[#This Row],[Variación interanual 2024-2025]]),"")</f>
        <v/>
      </c>
      <c r="Q21" s="28"/>
      <c r="R21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21" s="23"/>
      <c r="T21" s="37" t="str">
        <f>IFERROR(IF(OR(C21="Propio",AND(C21="Integrado",B21="T. monedero II")),tblJOVEN[[#This Row],[Estimación demanda 2026]],tblJOVEN[[#This Row],[Estimación demanda 2026]]*tblJOVEN[[#This Row],[% medio utilización]]),"")</f>
        <v/>
      </c>
      <c r="U21" s="40">
        <f>tblJOVEN[[#This Row],[Precio habitual sin descuento 
IVA INCLUIDO]]-tblJOVEN[[#This Row],[Precio unitario con descuento 2026
IVA INCLUIDO]]</f>
        <v>0</v>
      </c>
      <c r="V21" s="40" t="str">
        <f>IFERROR(tblJOVEN[[#This Row],[Unidades de demanda]]*tblJOVEN[[#This Row],[Pérdida unitaria de ingresos]],"")</f>
        <v/>
      </c>
      <c r="W21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22" spans="1:23" x14ac:dyDescent="0.35">
      <c r="A22" s="15"/>
      <c r="B22" s="19"/>
      <c r="C22" s="19"/>
      <c r="D22" s="20"/>
      <c r="E22" s="62"/>
      <c r="F22" s="62"/>
      <c r="G22" s="61">
        <f t="shared" si="0"/>
        <v>0.5</v>
      </c>
      <c r="H22" s="57"/>
      <c r="I22" s="58"/>
      <c r="J22" s="54"/>
      <c r="K22" s="37" t="str" cm="1">
        <f t="array" ref="K22">IF(OR(B22="",C22=""),"",_xlfn.IFS(
AND(B22="Abono",C22="Propio"),"N.º de unidades vendidas",
AND(B22="Abono",C22="Integrado"),"N.º de unidades vendidas x % medio de utilización",
AND(B22="Tít. multiviaje",C22="Propio"),"N.º de unidades vendidas",
AND(B22="Tít. multiviaje",C22="Integrado"),"N.º de unidades vendidas x % medio de utilización",
AND(B22="T. monedero I",C22="Propio"),"N.º de cargas de crédito aplicadas",
AND(B22="T. monedero I",C22="Integrado"),"N.º de cargas de crédito aplicadas x % medio de utilización",
AND(B22="T. monedero II",C22="Propio"),"N.º de validaciones",
AND(B22="T. monedero II",C22="Integrado"),"N.º de validaciones"
))</f>
        <v/>
      </c>
      <c r="L22" s="26"/>
      <c r="M22" s="29"/>
      <c r="N22" s="17"/>
      <c r="O22" s="37" t="str">
        <f>IFERROR((tblJOVEN[[#This Row],[Estimación demanda 2025]]-tblJOVEN[[#This Row],[Estimación demanda 2024]])/tblJOVEN[[#This Row],[Estimación demanda 2024]],"")</f>
        <v/>
      </c>
      <c r="P22" s="38" t="str">
        <f>IFERROR(tblJOVEN[[#This Row],[Estimación demanda 2025]]*(1+tblJOVEN[[#This Row],[Variación interanual 2024-2025]]),"")</f>
        <v/>
      </c>
      <c r="Q22" s="28"/>
      <c r="R22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22" s="23"/>
      <c r="T22" s="37" t="str">
        <f>IFERROR(IF(OR(C22="Propio",AND(C22="Integrado",B22="T. monedero II")),tblJOVEN[[#This Row],[Estimación demanda 2026]],tblJOVEN[[#This Row],[Estimación demanda 2026]]*tblJOVEN[[#This Row],[% medio utilización]]),"")</f>
        <v/>
      </c>
      <c r="U22" s="40">
        <f>tblJOVEN[[#This Row],[Precio habitual sin descuento 
IVA INCLUIDO]]-tblJOVEN[[#This Row],[Precio unitario con descuento 2026
IVA INCLUIDO]]</f>
        <v>0</v>
      </c>
      <c r="V22" s="40" t="str">
        <f>IFERROR(tblJOVEN[[#This Row],[Unidades de demanda]]*tblJOVEN[[#This Row],[Pérdida unitaria de ingresos]],"")</f>
        <v/>
      </c>
      <c r="W22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23" spans="1:23" x14ac:dyDescent="0.35">
      <c r="A23" s="15"/>
      <c r="B23" s="19"/>
      <c r="C23" s="19"/>
      <c r="D23" s="20"/>
      <c r="E23" s="62"/>
      <c r="F23" s="62"/>
      <c r="G23" s="61">
        <f t="shared" si="0"/>
        <v>0.5</v>
      </c>
      <c r="H23" s="57"/>
      <c r="I23" s="58"/>
      <c r="J23" s="54"/>
      <c r="K23" s="37" t="str" cm="1">
        <f t="array" ref="K23">IF(OR(B23="",C23=""),"",_xlfn.IFS(
AND(B23="Abono",C23="Propio"),"N.º de unidades vendidas",
AND(B23="Abono",C23="Integrado"),"N.º de unidades vendidas x % medio de utilización",
AND(B23="Tít. multiviaje",C23="Propio"),"N.º de unidades vendidas",
AND(B23="Tít. multiviaje",C23="Integrado"),"N.º de unidades vendidas x % medio de utilización",
AND(B23="T. monedero I",C23="Propio"),"N.º de cargas de crédito aplicadas",
AND(B23="T. monedero I",C23="Integrado"),"N.º de cargas de crédito aplicadas x % medio de utilización",
AND(B23="T. monedero II",C23="Propio"),"N.º de validaciones",
AND(B23="T. monedero II",C23="Integrado"),"N.º de validaciones"
))</f>
        <v/>
      </c>
      <c r="L23" s="26"/>
      <c r="M23" s="29"/>
      <c r="N23" s="17"/>
      <c r="O23" s="37" t="str">
        <f>IFERROR((tblJOVEN[[#This Row],[Estimación demanda 2025]]-tblJOVEN[[#This Row],[Estimación demanda 2024]])/tblJOVEN[[#This Row],[Estimación demanda 2024]],"")</f>
        <v/>
      </c>
      <c r="P23" s="38" t="str">
        <f>IFERROR(tblJOVEN[[#This Row],[Estimación demanda 2025]]*(1+tblJOVEN[[#This Row],[Variación interanual 2024-2025]]),"")</f>
        <v/>
      </c>
      <c r="Q23" s="28"/>
      <c r="R23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23" s="23"/>
      <c r="T23" s="37" t="str">
        <f>IFERROR(IF(OR(C23="Propio",AND(C23="Integrado",B23="T. monedero II")),tblJOVEN[[#This Row],[Estimación demanda 2026]],tblJOVEN[[#This Row],[Estimación demanda 2026]]*tblJOVEN[[#This Row],[% medio utilización]]),"")</f>
        <v/>
      </c>
      <c r="U23" s="40">
        <f>tblJOVEN[[#This Row],[Precio habitual sin descuento 
IVA INCLUIDO]]-tblJOVEN[[#This Row],[Precio unitario con descuento 2026
IVA INCLUIDO]]</f>
        <v>0</v>
      </c>
      <c r="V23" s="40" t="str">
        <f>IFERROR(tblJOVEN[[#This Row],[Unidades de demanda]]*tblJOVEN[[#This Row],[Pérdida unitaria de ingresos]],"")</f>
        <v/>
      </c>
      <c r="W23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24" spans="1:23" x14ac:dyDescent="0.35">
      <c r="A24" s="15"/>
      <c r="B24" s="19"/>
      <c r="C24" s="19"/>
      <c r="D24" s="18"/>
      <c r="E24" s="62"/>
      <c r="F24" s="62"/>
      <c r="G24" s="61">
        <f t="shared" si="0"/>
        <v>0.5</v>
      </c>
      <c r="H24" s="57"/>
      <c r="I24" s="58"/>
      <c r="J24" s="54"/>
      <c r="K24" s="37" t="str" cm="1">
        <f t="array" ref="K24">IF(OR(B24="",C24=""),"",_xlfn.IFS(
AND(B24="Abono",C24="Propio"),"N.º de unidades vendidas",
AND(B24="Abono",C24="Integrado"),"N.º de unidades vendidas x % medio de utilización",
AND(B24="Tít. multiviaje",C24="Propio"),"N.º de unidades vendidas",
AND(B24="Tít. multiviaje",C24="Integrado"),"N.º de unidades vendidas x % medio de utilización",
AND(B24="T. monedero I",C24="Propio"),"N.º de cargas de crédito aplicadas",
AND(B24="T. monedero I",C24="Integrado"),"N.º de cargas de crédito aplicadas x % medio de utilización",
AND(B24="T. monedero II",C24="Propio"),"N.º de validaciones",
AND(B24="T. monedero II",C24="Integrado"),"N.º de validaciones"
))</f>
        <v/>
      </c>
      <c r="L24" s="26"/>
      <c r="M24" s="29"/>
      <c r="N24" s="17"/>
      <c r="O24" s="37" t="str">
        <f>IFERROR((tblJOVEN[[#This Row],[Estimación demanda 2025]]-tblJOVEN[[#This Row],[Estimación demanda 2024]])/tblJOVEN[[#This Row],[Estimación demanda 2024]],"")</f>
        <v/>
      </c>
      <c r="P24" s="38" t="str">
        <f>IFERROR(tblJOVEN[[#This Row],[Estimación demanda 2025]]*(1+tblJOVEN[[#This Row],[Variación interanual 2024-2025]]),"")</f>
        <v/>
      </c>
      <c r="Q24" s="28"/>
      <c r="R24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24" s="23"/>
      <c r="T24" s="37" t="str">
        <f>IFERROR(IF(OR(C24="Propio",AND(C24="Integrado",B24="T. monedero II")),tblJOVEN[[#This Row],[Estimación demanda 2026]],tblJOVEN[[#This Row],[Estimación demanda 2026]]*tblJOVEN[[#This Row],[% medio utilización]]),"")</f>
        <v/>
      </c>
      <c r="U24" s="40">
        <f>tblJOVEN[[#This Row],[Precio habitual sin descuento 
IVA INCLUIDO]]-tblJOVEN[[#This Row],[Precio unitario con descuento 2026
IVA INCLUIDO]]</f>
        <v>0</v>
      </c>
      <c r="V24" s="40" t="str">
        <f>IFERROR(tblJOVEN[[#This Row],[Unidades de demanda]]*tblJOVEN[[#This Row],[Pérdida unitaria de ingresos]],"")</f>
        <v/>
      </c>
      <c r="W24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25" spans="1:23" x14ac:dyDescent="0.35">
      <c r="A25" s="15"/>
      <c r="B25" s="19"/>
      <c r="C25" s="19"/>
      <c r="D25" s="18"/>
      <c r="E25" s="62"/>
      <c r="F25" s="62"/>
      <c r="G25" s="61">
        <f t="shared" si="0"/>
        <v>0.5</v>
      </c>
      <c r="H25" s="57"/>
      <c r="I25" s="58"/>
      <c r="J25" s="54"/>
      <c r="K25" s="37" t="str" cm="1">
        <f t="array" ref="K25">IF(OR(B25="",C25=""),"",_xlfn.IFS(
AND(B25="Abono",C25="Propio"),"N.º de unidades vendidas",
AND(B25="Abono",C25="Integrado"),"N.º de unidades vendidas x % medio de utilización",
AND(B25="Tít. multiviaje",C25="Propio"),"N.º de unidades vendidas",
AND(B25="Tít. multiviaje",C25="Integrado"),"N.º de unidades vendidas x % medio de utilización",
AND(B25="T. monedero I",C25="Propio"),"N.º de cargas de crédito aplicadas",
AND(B25="T. monedero I",C25="Integrado"),"N.º de cargas de crédito aplicadas x % medio de utilización",
AND(B25="T. monedero II",C25="Propio"),"N.º de validaciones",
AND(B25="T. monedero II",C25="Integrado"),"N.º de validaciones"
))</f>
        <v/>
      </c>
      <c r="L25" s="26"/>
      <c r="M25" s="29"/>
      <c r="N25" s="17"/>
      <c r="O25" s="37" t="str">
        <f>IFERROR((tblJOVEN[[#This Row],[Estimación demanda 2025]]-tblJOVEN[[#This Row],[Estimación demanda 2024]])/tblJOVEN[[#This Row],[Estimación demanda 2024]],"")</f>
        <v/>
      </c>
      <c r="P25" s="38" t="str">
        <f>IFERROR(tblJOVEN[[#This Row],[Estimación demanda 2025]]*(1+tblJOVEN[[#This Row],[Variación interanual 2024-2025]]),"")</f>
        <v/>
      </c>
      <c r="Q25" s="28"/>
      <c r="R25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25" s="23"/>
      <c r="T25" s="37" t="str">
        <f>IFERROR(IF(OR(C25="Propio",AND(C25="Integrado",B25="T. monedero II")),tblJOVEN[[#This Row],[Estimación demanda 2026]],tblJOVEN[[#This Row],[Estimación demanda 2026]]*tblJOVEN[[#This Row],[% medio utilización]]),"")</f>
        <v/>
      </c>
      <c r="U25" s="40">
        <f>tblJOVEN[[#This Row],[Precio habitual sin descuento 
IVA INCLUIDO]]-tblJOVEN[[#This Row],[Precio unitario con descuento 2026
IVA INCLUIDO]]</f>
        <v>0</v>
      </c>
      <c r="V25" s="40" t="str">
        <f>IFERROR(tblJOVEN[[#This Row],[Unidades de demanda]]*tblJOVEN[[#This Row],[Pérdida unitaria de ingresos]],"")</f>
        <v/>
      </c>
      <c r="W25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26" spans="1:23" x14ac:dyDescent="0.35">
      <c r="A26" s="15"/>
      <c r="B26" s="19"/>
      <c r="C26" s="19"/>
      <c r="D26" s="18"/>
      <c r="E26" s="62"/>
      <c r="F26" s="62"/>
      <c r="G26" s="61">
        <f t="shared" si="0"/>
        <v>0.5</v>
      </c>
      <c r="H26" s="57"/>
      <c r="I26" s="58"/>
      <c r="J26" s="54"/>
      <c r="K26" s="37" t="str" cm="1">
        <f t="array" ref="K26">IF(OR(B26="",C26=""),"",_xlfn.IFS(
AND(B26="Abono",C26="Propio"),"N.º de unidades vendidas",
AND(B26="Abono",C26="Integrado"),"N.º de unidades vendidas x % medio de utilización",
AND(B26="Tít. multiviaje",C26="Propio"),"N.º de unidades vendidas",
AND(B26="Tít. multiviaje",C26="Integrado"),"N.º de unidades vendidas x % medio de utilización",
AND(B26="T. monedero I",C26="Propio"),"N.º de cargas de crédito aplicadas",
AND(B26="T. monedero I",C26="Integrado"),"N.º de cargas de crédito aplicadas x % medio de utilización",
AND(B26="T. monedero II",C26="Propio"),"N.º de validaciones",
AND(B26="T. monedero II",C26="Integrado"),"N.º de validaciones"
))</f>
        <v/>
      </c>
      <c r="L26" s="26"/>
      <c r="M26" s="29"/>
      <c r="N26" s="17"/>
      <c r="O26" s="37" t="str">
        <f>IFERROR((tblJOVEN[[#This Row],[Estimación demanda 2025]]-tblJOVEN[[#This Row],[Estimación demanda 2024]])/tblJOVEN[[#This Row],[Estimación demanda 2024]],"")</f>
        <v/>
      </c>
      <c r="P26" s="38" t="str">
        <f>IFERROR(tblJOVEN[[#This Row],[Estimación demanda 2025]]*(1+tblJOVEN[[#This Row],[Variación interanual 2024-2025]]),"")</f>
        <v/>
      </c>
      <c r="Q26" s="28"/>
      <c r="R26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26" s="23"/>
      <c r="T26" s="37" t="str">
        <f>IFERROR(IF(OR(C26="Propio",AND(C26="Integrado",B26="T. monedero II")),tblJOVEN[[#This Row],[Estimación demanda 2026]],tblJOVEN[[#This Row],[Estimación demanda 2026]]*tblJOVEN[[#This Row],[% medio utilización]]),"")</f>
        <v/>
      </c>
      <c r="U26" s="40">
        <f>tblJOVEN[[#This Row],[Precio habitual sin descuento 
IVA INCLUIDO]]-tblJOVEN[[#This Row],[Precio unitario con descuento 2026
IVA INCLUIDO]]</f>
        <v>0</v>
      </c>
      <c r="V26" s="40" t="str">
        <f>IFERROR(tblJOVEN[[#This Row],[Unidades de demanda]]*tblJOVEN[[#This Row],[Pérdida unitaria de ingresos]],"")</f>
        <v/>
      </c>
      <c r="W26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27" spans="1:23" x14ac:dyDescent="0.35">
      <c r="A27" s="15"/>
      <c r="B27" s="19"/>
      <c r="C27" s="19"/>
      <c r="D27" s="18"/>
      <c r="E27" s="62"/>
      <c r="F27" s="62"/>
      <c r="G27" s="61">
        <f t="shared" si="0"/>
        <v>0.5</v>
      </c>
      <c r="H27" s="57"/>
      <c r="I27" s="58"/>
      <c r="J27" s="54"/>
      <c r="K27" s="37" t="str" cm="1">
        <f t="array" ref="K27">IF(OR(B27="",C27=""),"",_xlfn.IFS(
AND(B27="Abono",C27="Propio"),"N.º de unidades vendidas",
AND(B27="Abono",C27="Integrado"),"N.º de unidades vendidas x % medio de utilización",
AND(B27="Tít. multiviaje",C27="Propio"),"N.º de unidades vendidas",
AND(B27="Tít. multiviaje",C27="Integrado"),"N.º de unidades vendidas x % medio de utilización",
AND(B27="T. monedero I",C27="Propio"),"N.º de cargas de crédito aplicadas",
AND(B27="T. monedero I",C27="Integrado"),"N.º de cargas de crédito aplicadas x % medio de utilización",
AND(B27="T. monedero II",C27="Propio"),"N.º de validaciones",
AND(B27="T. monedero II",C27="Integrado"),"N.º de validaciones"
))</f>
        <v/>
      </c>
      <c r="L27" s="26"/>
      <c r="M27" s="29"/>
      <c r="N27" s="17"/>
      <c r="O27" s="37" t="str">
        <f>IFERROR((tblJOVEN[[#This Row],[Estimación demanda 2025]]-tblJOVEN[[#This Row],[Estimación demanda 2024]])/tblJOVEN[[#This Row],[Estimación demanda 2024]],"")</f>
        <v/>
      </c>
      <c r="P27" s="38" t="str">
        <f>IFERROR(tblJOVEN[[#This Row],[Estimación demanda 2025]]*(1+tblJOVEN[[#This Row],[Variación interanual 2024-2025]]),"")</f>
        <v/>
      </c>
      <c r="Q27" s="28"/>
      <c r="R27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27" s="23"/>
      <c r="T27" s="37" t="str">
        <f>IFERROR(IF(OR(C27="Propio",AND(C27="Integrado",B27="T. monedero II")),tblJOVEN[[#This Row],[Estimación demanda 2026]],tblJOVEN[[#This Row],[Estimación demanda 2026]]*tblJOVEN[[#This Row],[% medio utilización]]),"")</f>
        <v/>
      </c>
      <c r="U27" s="40">
        <f>tblJOVEN[[#This Row],[Precio habitual sin descuento 
IVA INCLUIDO]]-tblJOVEN[[#This Row],[Precio unitario con descuento 2026
IVA INCLUIDO]]</f>
        <v>0</v>
      </c>
      <c r="V27" s="40" t="str">
        <f>IFERROR(tblJOVEN[[#This Row],[Unidades de demanda]]*tblJOVEN[[#This Row],[Pérdida unitaria de ingresos]],"")</f>
        <v/>
      </c>
      <c r="W27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28" spans="1:23" x14ac:dyDescent="0.35">
      <c r="A28" s="15"/>
      <c r="B28" s="19"/>
      <c r="C28" s="19"/>
      <c r="D28" s="18"/>
      <c r="E28" s="62"/>
      <c r="F28" s="62"/>
      <c r="G28" s="61">
        <f t="shared" si="0"/>
        <v>0.5</v>
      </c>
      <c r="H28" s="57"/>
      <c r="I28" s="58"/>
      <c r="J28" s="54"/>
      <c r="K28" s="37" t="str" cm="1">
        <f t="array" ref="K28">IF(OR(B28="",C28=""),"",_xlfn.IFS(
AND(B28="Abono",C28="Propio"),"N.º de unidades vendidas",
AND(B28="Abono",C28="Integrado"),"N.º de unidades vendidas x % medio de utilización",
AND(B28="Tít. multiviaje",C28="Propio"),"N.º de unidades vendidas",
AND(B28="Tít. multiviaje",C28="Integrado"),"N.º de unidades vendidas x % medio de utilización",
AND(B28="T. monedero I",C28="Propio"),"N.º de cargas de crédito aplicadas",
AND(B28="T. monedero I",C28="Integrado"),"N.º de cargas de crédito aplicadas x % medio de utilización",
AND(B28="T. monedero II",C28="Propio"),"N.º de validaciones",
AND(B28="T. monedero II",C28="Integrado"),"N.º de validaciones"
))</f>
        <v/>
      </c>
      <c r="L28" s="26"/>
      <c r="M28" s="29"/>
      <c r="N28" s="17"/>
      <c r="O28" s="37" t="str">
        <f>IFERROR((tblJOVEN[[#This Row],[Estimación demanda 2025]]-tblJOVEN[[#This Row],[Estimación demanda 2024]])/tblJOVEN[[#This Row],[Estimación demanda 2024]],"")</f>
        <v/>
      </c>
      <c r="P28" s="38" t="str">
        <f>IFERROR(tblJOVEN[[#This Row],[Estimación demanda 2025]]*(1+tblJOVEN[[#This Row],[Variación interanual 2024-2025]]),"")</f>
        <v/>
      </c>
      <c r="Q28" s="28"/>
      <c r="R28" s="39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28" s="23"/>
      <c r="T28" s="37" t="str">
        <f>IFERROR(IF(OR(C28="Propio",AND(C28="Integrado",B28="T. monedero II")),tblJOVEN[[#This Row],[Estimación demanda 2026]],tblJOVEN[[#This Row],[Estimación demanda 2026]]*tblJOVEN[[#This Row],[% medio utilización]]),"")</f>
        <v/>
      </c>
      <c r="U28" s="40">
        <f>tblJOVEN[[#This Row],[Precio habitual sin descuento 
IVA INCLUIDO]]-tblJOVEN[[#This Row],[Precio unitario con descuento 2026
IVA INCLUIDO]]</f>
        <v>0</v>
      </c>
      <c r="V28" s="40" t="str">
        <f>IFERROR(tblJOVEN[[#This Row],[Unidades de demanda]]*tblJOVEN[[#This Row],[Pérdida unitaria de ingresos]],"")</f>
        <v/>
      </c>
      <c r="W28" s="40" t="str">
        <f>IFERROR(tblJOVEN[[#This Row],[Unidades de demanda]]*tblJOVEN[[#This Row],[Precio habitual sin descuento 
IVA INCLUIDO]]*tblJOVEN[[#This Row],[Porcentaje de descuento que se financia por parte del Ministerio de Transportes y Movilidad Sostenible]],"")</f>
        <v/>
      </c>
    </row>
    <row r="29" spans="1:23" s="10" customFormat="1" ht="15" thickBot="1" x14ac:dyDescent="0.4">
      <c r="A29" s="41"/>
      <c r="B29" s="41"/>
      <c r="C29" s="41"/>
      <c r="D29" s="42" t="s">
        <v>2</v>
      </c>
      <c r="E29" s="42"/>
      <c r="F29" s="42"/>
      <c r="G29" s="53" t="s">
        <v>2</v>
      </c>
      <c r="H29" s="59"/>
      <c r="I29" s="60"/>
      <c r="J29" s="55" t="s">
        <v>2</v>
      </c>
      <c r="K29" s="41"/>
      <c r="L29" s="43"/>
      <c r="M29" s="44"/>
      <c r="N29" s="45"/>
      <c r="O29" s="45" t="str">
        <f>IFERROR((tblJOVEN[[#This Row],[Estimación demanda 2025]]-tblJOVEN[[#This Row],[Estimación demanda 2024]])/tblJOVEN[[#This Row],[Estimación demanda 2024]],"")</f>
        <v/>
      </c>
      <c r="P29" s="46" t="str">
        <f>IFERROR(tblJOVEN[[#This Row],[Estimación demanda 2025]]*(1+tblJOVEN[[#This Row],[Variación interanual 2024-2025]]),"")</f>
        <v/>
      </c>
      <c r="Q29" s="47"/>
      <c r="R29" s="41" t="str">
        <f>IF(tblJOVEN[[#This Row],[Aplicación método Anexo I]]=Hoja1!$C$2,tblJOVEN[[#This Row],[Estimación demanda 2026 - Mét. Anexo I]],IF(tblJOVEN[[#This Row],[Aplicación método Anexo I]]=Hoja1!$C$3,tblJOVEN[[#This Row],[Estimación demanda 2026 - Mét. Propio]],""))</f>
        <v/>
      </c>
      <c r="S29" s="41"/>
      <c r="T29" s="41" t="str">
        <f>IFERROR(IF(OR(C29="Propio",AND(C29="Integrado",B29="T. monedero II")),tblJOVEN[[#This Row],[Estimación demanda 2026]],tblJOVEN[[#This Row],[Estimación demanda 2026]]*tblJOVEN[[#This Row],[% medio utilización]]),"")</f>
        <v/>
      </c>
      <c r="U29" s="42" t="s">
        <v>2</v>
      </c>
      <c r="V29" s="48">
        <f>SUM(V3:V28)</f>
        <v>0</v>
      </c>
      <c r="W29" s="13">
        <f>SUM(W3:W28)</f>
        <v>0</v>
      </c>
    </row>
    <row r="30" spans="1:23" ht="15" thickTop="1" x14ac:dyDescent="0.35"/>
    <row r="31" spans="1:23" x14ac:dyDescent="0.35">
      <c r="D31" s="8"/>
      <c r="E31" s="8"/>
      <c r="F31" s="8"/>
      <c r="G31" s="8"/>
      <c r="H31" s="8"/>
      <c r="I31" s="8"/>
      <c r="T31" s="8"/>
    </row>
    <row r="32" spans="1:23" x14ac:dyDescent="0.35">
      <c r="A32" s="24" t="s">
        <v>36</v>
      </c>
      <c r="D32" s="8"/>
      <c r="E32" s="8"/>
      <c r="F32" s="8"/>
      <c r="G32" s="8"/>
      <c r="H32" s="8"/>
      <c r="I32" s="8"/>
      <c r="T32" s="8"/>
    </row>
    <row r="33" spans="1:20" x14ac:dyDescent="0.35">
      <c r="A33" s="8" t="s">
        <v>33</v>
      </c>
      <c r="D33" s="8"/>
      <c r="E33" s="8"/>
      <c r="F33" s="8"/>
      <c r="G33" s="8"/>
      <c r="H33" s="8"/>
      <c r="I33" s="8"/>
      <c r="J33"/>
      <c r="K33" s="11"/>
      <c r="L33" s="11"/>
      <c r="M33" s="11"/>
      <c r="N33" s="11"/>
      <c r="O33" s="11"/>
      <c r="P33" s="11"/>
      <c r="S33" s="11"/>
      <c r="T33" s="8"/>
    </row>
    <row r="34" spans="1:20" x14ac:dyDescent="0.35">
      <c r="A34" s="8" t="s">
        <v>34</v>
      </c>
      <c r="D34" s="8"/>
      <c r="E34" s="8"/>
      <c r="F34" s="8"/>
      <c r="G34" s="8"/>
      <c r="H34" s="8"/>
      <c r="I34" s="8"/>
      <c r="J34"/>
      <c r="K34" s="11"/>
      <c r="L34" s="11"/>
      <c r="M34" s="11"/>
      <c r="N34" s="11"/>
      <c r="O34" s="11"/>
      <c r="P34" s="11"/>
      <c r="S34" s="11"/>
      <c r="T34" s="8"/>
    </row>
    <row r="35" spans="1:20" x14ac:dyDescent="0.35">
      <c r="D35" s="8"/>
      <c r="E35" s="8"/>
      <c r="F35" s="8"/>
      <c r="G35" s="8"/>
      <c r="H35" s="8"/>
      <c r="I35" s="8"/>
      <c r="J35"/>
      <c r="K35" s="11"/>
      <c r="L35" s="11"/>
      <c r="M35" s="11"/>
      <c r="N35" s="11"/>
      <c r="O35" s="11"/>
      <c r="P35" s="11"/>
      <c r="S35" s="11"/>
      <c r="T35" s="8"/>
    </row>
    <row r="36" spans="1:20" x14ac:dyDescent="0.35">
      <c r="D36" s="8"/>
      <c r="E36" s="8"/>
      <c r="F36" s="8"/>
      <c r="G36" s="8"/>
      <c r="H36" s="8"/>
      <c r="I36" s="8"/>
      <c r="J36"/>
      <c r="K36" s="11"/>
      <c r="L36" s="11"/>
      <c r="M36" s="11"/>
      <c r="N36" s="11"/>
      <c r="O36" s="11"/>
      <c r="P36" s="11"/>
      <c r="S36" s="11"/>
      <c r="T36" s="8"/>
    </row>
    <row r="37" spans="1:20" x14ac:dyDescent="0.35">
      <c r="D37" s="8"/>
      <c r="E37" s="8"/>
      <c r="F37" s="8"/>
      <c r="G37" s="8"/>
      <c r="H37" s="8"/>
      <c r="I37" s="8"/>
      <c r="J37"/>
      <c r="K37" s="11"/>
      <c r="L37" s="11"/>
      <c r="M37" s="11"/>
      <c r="N37" s="11"/>
      <c r="O37" s="11"/>
      <c r="P37" s="11"/>
      <c r="S37" s="11"/>
      <c r="T37" s="8"/>
    </row>
    <row r="38" spans="1:20" x14ac:dyDescent="0.35">
      <c r="D38" s="8"/>
      <c r="E38" s="8"/>
      <c r="F38" s="8"/>
      <c r="G38" s="8"/>
      <c r="H38" s="8"/>
      <c r="I38" s="8"/>
      <c r="J38"/>
      <c r="K38" s="11"/>
      <c r="L38" s="11"/>
      <c r="M38" s="11"/>
      <c r="N38" s="11"/>
      <c r="O38" s="11"/>
      <c r="P38" s="11"/>
      <c r="S38" s="11"/>
      <c r="T38" s="8"/>
    </row>
    <row r="39" spans="1:20" x14ac:dyDescent="0.35">
      <c r="D39" s="8"/>
      <c r="E39" s="8"/>
      <c r="F39" s="8"/>
      <c r="G39" s="8"/>
      <c r="H39" s="8"/>
      <c r="I39" s="8"/>
      <c r="J39"/>
      <c r="K39" s="11"/>
      <c r="L39" s="11"/>
      <c r="M39" s="11"/>
      <c r="N39" s="11"/>
      <c r="O39" s="11"/>
      <c r="P39" s="11"/>
      <c r="S39" s="11"/>
      <c r="T39" s="8"/>
    </row>
    <row r="40" spans="1:20" x14ac:dyDescent="0.35">
      <c r="D40" s="8"/>
      <c r="E40" s="8"/>
      <c r="F40" s="8"/>
      <c r="G40" s="8"/>
      <c r="H40" s="8"/>
      <c r="I40" s="8"/>
      <c r="J40"/>
      <c r="K40" s="11"/>
      <c r="L40" s="11"/>
      <c r="M40" s="11"/>
      <c r="N40" s="11"/>
      <c r="O40" s="11"/>
      <c r="P40" s="11"/>
      <c r="S40" s="11"/>
      <c r="T40" s="8"/>
    </row>
    <row r="41" spans="1:20" x14ac:dyDescent="0.35">
      <c r="D41" s="8"/>
      <c r="E41" s="8"/>
      <c r="F41" s="8"/>
      <c r="G41" s="8"/>
      <c r="H41" s="8"/>
      <c r="I41" s="8"/>
      <c r="J41"/>
      <c r="K41" s="11"/>
      <c r="L41" s="11"/>
      <c r="M41" s="11"/>
      <c r="N41" s="11"/>
      <c r="O41" s="11"/>
      <c r="P41" s="11"/>
      <c r="S41" s="11"/>
      <c r="T41" s="8"/>
    </row>
    <row r="42" spans="1:20" x14ac:dyDescent="0.35">
      <c r="D42" s="8"/>
      <c r="E42" s="8"/>
      <c r="F42" s="8"/>
      <c r="G42" s="8"/>
      <c r="H42" s="8"/>
      <c r="I42" s="8"/>
      <c r="J42"/>
      <c r="K42" s="11"/>
      <c r="L42" s="11"/>
      <c r="M42" s="11"/>
      <c r="N42" s="11"/>
      <c r="O42" s="11"/>
      <c r="P42" s="11"/>
      <c r="S42" s="11"/>
      <c r="T42" s="8"/>
    </row>
    <row r="43" spans="1:20" x14ac:dyDescent="0.35">
      <c r="D43" s="8"/>
      <c r="E43" s="8"/>
      <c r="F43" s="8"/>
      <c r="G43" s="8"/>
      <c r="H43" s="8"/>
      <c r="I43" s="8"/>
      <c r="J43"/>
      <c r="K43" s="11"/>
      <c r="L43" s="11"/>
      <c r="M43" s="11"/>
      <c r="N43" s="11"/>
      <c r="O43" s="11"/>
      <c r="P43" s="11"/>
      <c r="S43" s="11"/>
      <c r="T43" s="8"/>
    </row>
    <row r="44" spans="1:20" x14ac:dyDescent="0.35">
      <c r="D44" s="8"/>
      <c r="E44" s="8"/>
      <c r="F44" s="8"/>
      <c r="G44" s="8"/>
      <c r="H44" s="8"/>
      <c r="I44" s="8"/>
      <c r="J44"/>
      <c r="K44" s="11"/>
      <c r="L44" s="11"/>
      <c r="M44" s="11"/>
      <c r="N44" s="11"/>
      <c r="O44" s="11"/>
      <c r="P44" s="11"/>
      <c r="S44" s="11"/>
      <c r="T44" s="8"/>
    </row>
    <row r="45" spans="1:20" x14ac:dyDescent="0.35">
      <c r="D45" s="8"/>
      <c r="E45" s="8"/>
      <c r="F45" s="8"/>
      <c r="G45" s="8"/>
      <c r="H45" s="8"/>
      <c r="I45" s="8"/>
      <c r="J45"/>
      <c r="K45" s="11"/>
      <c r="L45" s="11"/>
      <c r="M45" s="11"/>
      <c r="N45" s="11"/>
      <c r="O45" s="11"/>
      <c r="P45" s="11"/>
      <c r="S45" s="11"/>
      <c r="T45" s="8"/>
    </row>
  </sheetData>
  <sheetProtection selectLockedCells="1"/>
  <mergeCells count="2">
    <mergeCell ref="M1:P1"/>
    <mergeCell ref="H1:I1"/>
  </mergeCells>
  <phoneticPr fontId="3" type="noConversion"/>
  <conditionalFormatting sqref="L3:L28">
    <cfRule type="expression" dxfId="7" priority="1">
      <formula>AND(H3-I3&gt;0.15*H3,L3="Sí")</formula>
    </cfRule>
  </conditionalFormatting>
  <conditionalFormatting sqref="M3:P28">
    <cfRule type="expression" dxfId="6" priority="2">
      <formula>$L3="NO"</formula>
    </cfRule>
  </conditionalFormatting>
  <conditionalFormatting sqref="Q3:Q28">
    <cfRule type="expression" dxfId="5" priority="3">
      <formula>$L3="SÍ"</formula>
    </cfRule>
  </conditionalFormatting>
  <conditionalFormatting sqref="S3:S28">
    <cfRule type="expression" dxfId="4" priority="4">
      <formula>OR(C3="Propio",AND(C3="Integrado",B3="T. monedero II"))</formula>
    </cfRule>
  </conditionalFormatting>
  <dataValidations count="2">
    <dataValidation type="decimal" operator="greaterThanOrEqual" allowBlank="1" showInputMessage="1" showErrorMessage="1" sqref="U3:U28 J3:K28 D3:F28" xr:uid="{917E5079-902B-4CD4-8A51-C911A2D58631}">
      <formula1>0</formula1>
    </dataValidation>
    <dataValidation operator="greaterThanOrEqual" allowBlank="1" showInputMessage="1" showErrorMessage="1" sqref="V3:V28 S3:T28 G3:I28" xr:uid="{91441B78-CDF8-4574-BAE4-8211787C9C7D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greaterThanOrEqual" allowBlank="1" showInputMessage="1" showErrorMessage="1" xr:uid="{E51B7B2B-735E-4C98-8C8B-B83DA7CEF6F2}">
          <x14:formula1>
            <xm:f>Hoja1!$C$2:$C$3</xm:f>
          </x14:formula1>
          <xm:sqref>L3:L28</xm:sqref>
        </x14:dataValidation>
        <x14:dataValidation type="list" allowBlank="1" showInputMessage="1" showErrorMessage="1" xr:uid="{BD55C311-D64D-45EB-83A1-B9E5A0522C8C}">
          <x14:formula1>
            <xm:f>Hoja1!$B$2:$B$3</xm:f>
          </x14:formula1>
          <xm:sqref>C3:C28</xm:sqref>
        </x14:dataValidation>
        <x14:dataValidation type="list" allowBlank="1" showInputMessage="1" showErrorMessage="1" xr:uid="{DDA82768-C499-4642-B1BA-B8774D5597F7}">
          <x14:formula1>
            <xm:f>Hoja1!$A$2:$A$5</xm:f>
          </x14:formula1>
          <xm:sqref>B3:B28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C94C-50A0-4773-B358-2E2A04CD8099}">
  <sheetPr codeName="Hoja4"/>
  <dimension ref="A1:W46"/>
  <sheetViews>
    <sheetView zoomScale="85" zoomScaleNormal="85" workbookViewId="0">
      <selection activeCell="A2" sqref="A2"/>
    </sheetView>
  </sheetViews>
  <sheetFormatPr baseColWidth="10" defaultColWidth="8.7265625" defaultRowHeight="14.5" x14ac:dyDescent="0.35"/>
  <cols>
    <col min="1" max="1" width="25.453125" style="8" customWidth="1"/>
    <col min="2" max="2" width="15.453125" style="8" customWidth="1"/>
    <col min="3" max="3" width="13.54296875" style="8" customWidth="1"/>
    <col min="4" max="4" width="13" customWidth="1"/>
    <col min="5" max="5" width="19.81640625" customWidth="1"/>
    <col min="6" max="6" width="27" customWidth="1"/>
    <col min="7" max="7" width="21.453125" customWidth="1"/>
    <col min="8" max="8" width="13.453125" customWidth="1"/>
    <col min="9" max="9" width="13.54296875" customWidth="1"/>
    <col min="10" max="10" width="13.90625" style="8" customWidth="1"/>
    <col min="11" max="11" width="46.26953125" style="12" bestFit="1" customWidth="1"/>
    <col min="12" max="12" width="11.81640625" style="12" bestFit="1" customWidth="1"/>
    <col min="13" max="13" width="12.1796875" style="12" customWidth="1"/>
    <col min="14" max="16" width="13" style="12" customWidth="1"/>
    <col min="17" max="18" width="11.7265625" style="8" customWidth="1"/>
    <col min="19" max="19" width="13" style="12" customWidth="1"/>
    <col min="20" max="20" width="12.453125" customWidth="1"/>
    <col min="21" max="21" width="11.7265625" style="8" customWidth="1"/>
    <col min="22" max="22" width="17.26953125" style="8" customWidth="1"/>
    <col min="23" max="23" width="20.7265625" style="8" customWidth="1"/>
    <col min="24" max="24" width="22.26953125" style="8" customWidth="1"/>
    <col min="25" max="25" width="20.1796875" style="8" customWidth="1"/>
    <col min="26" max="26" width="23.26953125" style="8" customWidth="1"/>
    <col min="27" max="16384" width="8.7265625" style="8"/>
  </cols>
  <sheetData>
    <row r="1" spans="1:23" ht="15" customHeight="1" thickTop="1" x14ac:dyDescent="0.35">
      <c r="D1" s="8"/>
      <c r="E1" s="8"/>
      <c r="F1" s="8"/>
      <c r="G1" s="12"/>
      <c r="H1" s="79" t="s">
        <v>20</v>
      </c>
      <c r="I1" s="80"/>
      <c r="K1" s="8"/>
      <c r="L1" s="8"/>
      <c r="M1" s="76" t="s">
        <v>20</v>
      </c>
      <c r="N1" s="77"/>
      <c r="O1" s="77"/>
      <c r="P1" s="78"/>
      <c r="S1" s="21"/>
      <c r="T1" s="8"/>
    </row>
    <row r="2" spans="1:23" customFormat="1" ht="87" x14ac:dyDescent="0.35">
      <c r="A2" s="30" t="s">
        <v>8</v>
      </c>
      <c r="B2" s="30" t="s">
        <v>9</v>
      </c>
      <c r="C2" s="30" t="s">
        <v>10</v>
      </c>
      <c r="D2" s="31" t="s">
        <v>46</v>
      </c>
      <c r="E2" s="31" t="s">
        <v>37</v>
      </c>
      <c r="F2" s="31" t="s">
        <v>38</v>
      </c>
      <c r="G2" s="52" t="s">
        <v>7</v>
      </c>
      <c r="H2" s="34" t="s">
        <v>45</v>
      </c>
      <c r="I2" s="56" t="s">
        <v>43</v>
      </c>
      <c r="J2" s="30" t="s">
        <v>44</v>
      </c>
      <c r="K2" s="30" t="s">
        <v>11</v>
      </c>
      <c r="L2" s="33" t="s">
        <v>25</v>
      </c>
      <c r="M2" s="34" t="s">
        <v>26</v>
      </c>
      <c r="N2" s="30" t="s">
        <v>27</v>
      </c>
      <c r="O2" s="30" t="s">
        <v>31</v>
      </c>
      <c r="P2" s="35" t="s">
        <v>29</v>
      </c>
      <c r="Q2" s="30" t="s">
        <v>30</v>
      </c>
      <c r="R2" s="30" t="s">
        <v>28</v>
      </c>
      <c r="S2" s="30" t="s">
        <v>24</v>
      </c>
      <c r="T2" s="30" t="s">
        <v>12</v>
      </c>
      <c r="U2" s="32" t="s">
        <v>0</v>
      </c>
      <c r="V2" s="32" t="s">
        <v>1</v>
      </c>
      <c r="W2" s="36" t="s">
        <v>13</v>
      </c>
    </row>
    <row r="3" spans="1:23" x14ac:dyDescent="0.35">
      <c r="A3" s="14"/>
      <c r="B3" s="17"/>
      <c r="C3" s="17"/>
      <c r="D3" s="18"/>
      <c r="E3" s="62"/>
      <c r="F3" s="62"/>
      <c r="G3" s="61">
        <f>MIN(1-E3-F3,1)</f>
        <v>1</v>
      </c>
      <c r="H3" s="57"/>
      <c r="I3" s="58"/>
      <c r="J3" s="54"/>
      <c r="K3" s="37" t="str" cm="1">
        <f t="array" ref="K3">IF(OR(B3="",C3=""),"",_xlfn.IFS(
AND(B3="Abono",C3="Propio"),"N.º de unidades vendidas",
AND(B3="Abono",C3="Integrado"),"N.º de unidades vendidas x % medio de utilización",
AND(B3="Tít. multiviaje",C3="Propio"),"N.º de unidades vendidas",
AND(B3="Tít. multiviaje",C3="Integrado"),"N.º de unidades vendidas x % medio de utilización",
AND(B3="T. monedero I",C3="Propio"),"N.º de cargas de crédito aplicadas",
AND(B3="T. monedero I",C3="Integrado"),"N.º de cargas de crédito aplicadas x % medio de utilización",
AND(B3="T. monedero II",C3="Propio"),"N.º de validaciones",
AND(B3="T. monedero II",C3="Integrado"),"N.º de validaciones"
))</f>
        <v/>
      </c>
      <c r="L3" s="26"/>
      <c r="M3" s="29"/>
      <c r="N3" s="17"/>
      <c r="O3" s="37" t="str">
        <f>IFERROR((tblINFANTIL[[#This Row],[Estimación demanda 2025]]-tblINFANTIL[[#This Row],[Estimación demanda 2024]])/tblINFANTIL[[#This Row],[Estimación demanda 2024]],"")</f>
        <v/>
      </c>
      <c r="P3" s="38" t="str">
        <f>IFERROR(tblINFANTIL[[#This Row],[Estimación demanda 2025]]*(1+tblINFANTIL[[#This Row],[Variación interanual 2024-2025]]),"")</f>
        <v/>
      </c>
      <c r="Q3" s="27"/>
      <c r="R3" s="37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3" s="22"/>
      <c r="T3" s="37" t="str">
        <f>IFERROR(IF(OR(C3="Propio",AND(C3="Integrado",OR(B3="T. monedero I",B3="T. monedero II",B3="Tít. multiviaje"))),tblINFANTIL[[#This Row],[Estimación demanda 2026]],tblINFANTIL[[#This Row],[Estimación demanda 2026]]*tblINFANTIL[[#This Row],[% medio utilización]]),"")</f>
        <v/>
      </c>
      <c r="U3" s="40">
        <f>tblINFANTIL[[#This Row],[Precio habitual sin descuento 
IVA INCLUIDO]]-tblINFANTIL[[#This Row],[Precio unitario con descuento 2026
IVA INCLUIDO]]</f>
        <v>0</v>
      </c>
      <c r="V3" s="40" t="str">
        <f>IFERROR(tblINFANTIL[[#This Row],[Unidades de demanda]]*tblINFANTIL[[#This Row],[Pérdida unitaria de ingresos]],"")</f>
        <v/>
      </c>
      <c r="W3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4" spans="1:23" x14ac:dyDescent="0.35">
      <c r="A4" s="15"/>
      <c r="B4" s="19"/>
      <c r="C4" s="19"/>
      <c r="D4" s="20"/>
      <c r="E4" s="62"/>
      <c r="F4" s="62"/>
      <c r="G4" s="61">
        <f t="shared" ref="G4:G28" si="0">MIN(1-E4-F4,1)</f>
        <v>1</v>
      </c>
      <c r="H4" s="57"/>
      <c r="I4" s="58"/>
      <c r="J4" s="54"/>
      <c r="K4" s="37" t="str" cm="1">
        <f t="array" ref="K4">IF(OR(B4="",C4=""),"",_xlfn.IFS(
AND(B4="Abono",C4="Propio"),"N.º de unidades vendidas",
AND(B4="Abono",C4="Integrado"),"N.º de unidades vendidas x % medio de utilización",
AND(B4="Tít. multiviaje",C4="Propio"),"N.º de unidades vendidas",
AND(B4="Tít. multiviaje",C4="Integrado"),"N.º de unidades vendidas x % medio de utilización",
AND(B4="T. monedero I",C4="Propio"),"N.º de cargas de crédito aplicadas",
AND(B4="T. monedero I",C4="Integrado"),"N.º de cargas de crédito aplicadas x % medio de utilización",
AND(B4="T. monedero II",C4="Propio"),"N.º de validaciones",
AND(B4="T. monedero II",C4="Integrado"),"N.º de validaciones"
))</f>
        <v/>
      </c>
      <c r="L4" s="26"/>
      <c r="M4" s="29"/>
      <c r="N4" s="17"/>
      <c r="O4" s="37" t="str">
        <f>IFERROR((tblINFANTIL[[#This Row],[Estimación demanda 2025]]-tblINFANTIL[[#This Row],[Estimación demanda 2024]])/tblINFANTIL[[#This Row],[Estimación demanda 2024]],"")</f>
        <v/>
      </c>
      <c r="P4" s="38" t="str">
        <f>IFERROR(tblINFANTIL[[#This Row],[Estimación demanda 2025]]*(1+tblINFANTIL[[#This Row],[Variación interanual 2024-2025]]),"")</f>
        <v/>
      </c>
      <c r="Q4" s="28"/>
      <c r="R4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4" s="22"/>
      <c r="T4" s="37" t="str">
        <f>IFERROR(IF(OR(C4="Propio",AND(C4="Integrado",OR(B4="T. monedero I",B4="T. monedero II",B4="Tít. multiviaje"))),tblINFANTIL[[#This Row],[Estimación demanda 2026]],tblINFANTIL[[#This Row],[Estimación demanda 2026]]*tblINFANTIL[[#This Row],[% medio utilización]]),"")</f>
        <v/>
      </c>
      <c r="U4" s="40">
        <f>tblINFANTIL[[#This Row],[Precio habitual sin descuento 
IVA INCLUIDO]]-tblINFANTIL[[#This Row],[Precio unitario con descuento 2026
IVA INCLUIDO]]</f>
        <v>0</v>
      </c>
      <c r="V4" s="40" t="str">
        <f>IFERROR(tblINFANTIL[[#This Row],[Unidades de demanda]]*tblINFANTIL[[#This Row],[Pérdida unitaria de ingresos]],"")</f>
        <v/>
      </c>
      <c r="W4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5" spans="1:23" x14ac:dyDescent="0.35">
      <c r="A5" s="15"/>
      <c r="B5" s="19"/>
      <c r="C5" s="19"/>
      <c r="D5" s="20"/>
      <c r="E5" s="62"/>
      <c r="F5" s="62"/>
      <c r="G5" s="61">
        <f t="shared" si="0"/>
        <v>1</v>
      </c>
      <c r="H5" s="57"/>
      <c r="I5" s="58"/>
      <c r="J5" s="54"/>
      <c r="K5" s="37" t="str" cm="1">
        <f t="array" ref="K5">IF(OR(B5="",C5=""),"",_xlfn.IFS(
AND(B5="Abono",C5="Propio"),"N.º de unidades vendidas",
AND(B5="Abono",C5="Integrado"),"N.º de unidades vendidas x % medio de utilización",
AND(B5="Tít. multiviaje",C5="Propio"),"N.º de unidades vendidas",
AND(B5="Tít. multiviaje",C5="Integrado"),"N.º de unidades vendidas x % medio de utilización",
AND(B5="T. monedero I",C5="Propio"),"N.º de cargas de crédito aplicadas",
AND(B5="T. monedero I",C5="Integrado"),"N.º de cargas de crédito aplicadas x % medio de utilización",
AND(B5="T. monedero II",C5="Propio"),"N.º de validaciones",
AND(B5="T. monedero II",C5="Integrado"),"N.º de validaciones"
))</f>
        <v/>
      </c>
      <c r="L5" s="26"/>
      <c r="M5" s="29"/>
      <c r="N5" s="17"/>
      <c r="O5" s="37" t="str">
        <f>IFERROR((tblINFANTIL[[#This Row],[Estimación demanda 2025]]-tblINFANTIL[[#This Row],[Estimación demanda 2024]])/tblINFANTIL[[#This Row],[Estimación demanda 2024]],"")</f>
        <v/>
      </c>
      <c r="P5" s="38" t="str">
        <f>IFERROR(tblINFANTIL[[#This Row],[Estimación demanda 2025]]*(1+tblINFANTIL[[#This Row],[Variación interanual 2024-2025]]),"")</f>
        <v/>
      </c>
      <c r="Q5" s="28"/>
      <c r="R5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5" s="22"/>
      <c r="T5" s="37" t="str">
        <f>IFERROR(IF(OR(C5="Propio",AND(C5="Integrado",OR(B5="T. monedero I",B5="T. monedero II",B5="Tít. multiviaje"))),tblINFANTIL[[#This Row],[Estimación demanda 2026]],tblINFANTIL[[#This Row],[Estimación demanda 2026]]*tblINFANTIL[[#This Row],[% medio utilización]]),"")</f>
        <v/>
      </c>
      <c r="U5" s="40">
        <f>tblINFANTIL[[#This Row],[Precio habitual sin descuento 
IVA INCLUIDO]]-tblINFANTIL[[#This Row],[Precio unitario con descuento 2026
IVA INCLUIDO]]</f>
        <v>0</v>
      </c>
      <c r="V5" s="40" t="str">
        <f>IFERROR(tblINFANTIL[[#This Row],[Unidades de demanda]]*tblINFANTIL[[#This Row],[Pérdida unitaria de ingresos]],"")</f>
        <v/>
      </c>
      <c r="W5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6" spans="1:23" x14ac:dyDescent="0.35">
      <c r="A6" s="15"/>
      <c r="B6" s="19"/>
      <c r="C6" s="19"/>
      <c r="D6" s="20"/>
      <c r="E6" s="62"/>
      <c r="F6" s="62"/>
      <c r="G6" s="61">
        <f t="shared" si="0"/>
        <v>1</v>
      </c>
      <c r="H6" s="57"/>
      <c r="I6" s="58"/>
      <c r="J6" s="54"/>
      <c r="K6" s="37" t="str" cm="1">
        <f t="array" ref="K6">IF(OR(B6="",C6=""),"",_xlfn.IFS(
AND(B6="Abono",C6="Propio"),"N.º de unidades vendidas",
AND(B6="Abono",C6="Integrado"),"N.º de unidades vendidas x % medio de utilización",
AND(B6="Tít. multiviaje",C6="Propio"),"N.º de unidades vendidas",
AND(B6="Tít. multiviaje",C6="Integrado"),"N.º de unidades vendidas x % medio de utilización",
AND(B6="T. monedero I",C6="Propio"),"N.º de cargas de crédito aplicadas",
AND(B6="T. monedero I",C6="Integrado"),"N.º de cargas de crédito aplicadas x % medio de utilización",
AND(B6="T. monedero II",C6="Propio"),"N.º de validaciones",
AND(B6="T. monedero II",C6="Integrado"),"N.º de validaciones"
))</f>
        <v/>
      </c>
      <c r="L6" s="26"/>
      <c r="M6" s="29"/>
      <c r="N6" s="17"/>
      <c r="O6" s="37" t="str">
        <f>IFERROR((tblINFANTIL[[#This Row],[Estimación demanda 2025]]-tblINFANTIL[[#This Row],[Estimación demanda 2024]])/tblINFANTIL[[#This Row],[Estimación demanda 2024]],"")</f>
        <v/>
      </c>
      <c r="P6" s="38" t="str">
        <f>IFERROR(tblINFANTIL[[#This Row],[Estimación demanda 2025]]*(1+tblINFANTIL[[#This Row],[Variación interanual 2024-2025]]),"")</f>
        <v/>
      </c>
      <c r="Q6" s="28"/>
      <c r="R6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6" s="22"/>
      <c r="T6" s="37" t="str">
        <f>IFERROR(IF(OR(C6="Propio",AND(C6="Integrado",OR(B6="T. monedero I",B6="T. monedero II",B6="Tít. multiviaje"))),tblINFANTIL[[#This Row],[Estimación demanda 2026]],tblINFANTIL[[#This Row],[Estimación demanda 2026]]*tblINFANTIL[[#This Row],[% medio utilización]]),"")</f>
        <v/>
      </c>
      <c r="U6" s="40">
        <f>tblINFANTIL[[#This Row],[Precio habitual sin descuento 
IVA INCLUIDO]]-tblINFANTIL[[#This Row],[Precio unitario con descuento 2026
IVA INCLUIDO]]</f>
        <v>0</v>
      </c>
      <c r="V6" s="40" t="str">
        <f>IFERROR(tblINFANTIL[[#This Row],[Unidades de demanda]]*tblINFANTIL[[#This Row],[Pérdida unitaria de ingresos]],"")</f>
        <v/>
      </c>
      <c r="W6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7" spans="1:23" x14ac:dyDescent="0.35">
      <c r="A7" s="15"/>
      <c r="B7" s="19"/>
      <c r="C7" s="19"/>
      <c r="D7" s="20"/>
      <c r="E7" s="62"/>
      <c r="F7" s="62"/>
      <c r="G7" s="61">
        <f t="shared" si="0"/>
        <v>1</v>
      </c>
      <c r="H7" s="57"/>
      <c r="I7" s="58"/>
      <c r="J7" s="54"/>
      <c r="K7" s="37" t="str" cm="1">
        <f t="array" ref="K7">IF(OR(B7="",C7=""),"",_xlfn.IFS(
AND(B7="Abono",C7="Propio"),"N.º de unidades vendidas",
AND(B7="Abono",C7="Integrado"),"N.º de unidades vendidas x % medio de utilización",
AND(B7="Tít. multiviaje",C7="Propio"),"N.º de unidades vendidas",
AND(B7="Tít. multiviaje",C7="Integrado"),"N.º de unidades vendidas x % medio de utilización",
AND(B7="T. monedero I",C7="Propio"),"N.º de cargas de crédito aplicadas",
AND(B7="T. monedero I",C7="Integrado"),"N.º de cargas de crédito aplicadas x % medio de utilización",
AND(B7="T. monedero II",C7="Propio"),"N.º de validaciones",
AND(B7="T. monedero II",C7="Integrado"),"N.º de validaciones"
))</f>
        <v/>
      </c>
      <c r="L7" s="26"/>
      <c r="M7" s="29"/>
      <c r="N7" s="17"/>
      <c r="O7" s="37" t="str">
        <f>IFERROR((tblINFANTIL[[#This Row],[Estimación demanda 2025]]-tblINFANTIL[[#This Row],[Estimación demanda 2024]])/tblINFANTIL[[#This Row],[Estimación demanda 2024]],"")</f>
        <v/>
      </c>
      <c r="P7" s="38" t="str">
        <f>IFERROR(tblINFANTIL[[#This Row],[Estimación demanda 2025]]*(1+tblINFANTIL[[#This Row],[Variación interanual 2024-2025]]),"")</f>
        <v/>
      </c>
      <c r="Q7" s="28"/>
      <c r="R7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7" s="22"/>
      <c r="T7" s="37" t="str">
        <f>IFERROR(IF(OR(C7="Propio",AND(C7="Integrado",OR(B7="T. monedero I",B7="T. monedero II",B7="Tít. multiviaje"))),tblINFANTIL[[#This Row],[Estimación demanda 2026]],tblINFANTIL[[#This Row],[Estimación demanda 2026]]*tblINFANTIL[[#This Row],[% medio utilización]]),"")</f>
        <v/>
      </c>
      <c r="U7" s="40">
        <f>tblINFANTIL[[#This Row],[Precio habitual sin descuento 
IVA INCLUIDO]]-tblINFANTIL[[#This Row],[Precio unitario con descuento 2026
IVA INCLUIDO]]</f>
        <v>0</v>
      </c>
      <c r="V7" s="40" t="str">
        <f>IFERROR(tblINFANTIL[[#This Row],[Unidades de demanda]]*tblINFANTIL[[#This Row],[Pérdida unitaria de ingresos]],"")</f>
        <v/>
      </c>
      <c r="W7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8" spans="1:23" x14ac:dyDescent="0.35">
      <c r="A8" s="15"/>
      <c r="B8" s="19"/>
      <c r="C8" s="19"/>
      <c r="D8" s="20"/>
      <c r="E8" s="62"/>
      <c r="F8" s="62"/>
      <c r="G8" s="61">
        <f t="shared" si="0"/>
        <v>1</v>
      </c>
      <c r="H8" s="57"/>
      <c r="I8" s="58"/>
      <c r="J8" s="54"/>
      <c r="K8" s="37" t="str" cm="1">
        <f t="array" ref="K8">IF(OR(B8="",C8=""),"",_xlfn.IFS(
AND(B8="Abono",C8="Propio"),"N.º de unidades vendidas",
AND(B8="Abono",C8="Integrado"),"N.º de unidades vendidas x % medio de utilización",
AND(B8="Tít. multiviaje",C8="Propio"),"N.º de unidades vendidas",
AND(B8="Tít. multiviaje",C8="Integrado"),"N.º de unidades vendidas x % medio de utilización",
AND(B8="T. monedero I",C8="Propio"),"N.º de cargas de crédito aplicadas",
AND(B8="T. monedero I",C8="Integrado"),"N.º de cargas de crédito aplicadas x % medio de utilización",
AND(B8="T. monedero II",C8="Propio"),"N.º de validaciones",
AND(B8="T. monedero II",C8="Integrado"),"N.º de validaciones"
))</f>
        <v/>
      </c>
      <c r="L8" s="26"/>
      <c r="M8" s="29"/>
      <c r="N8" s="17"/>
      <c r="O8" s="37" t="str">
        <f>IFERROR((tblINFANTIL[[#This Row],[Estimación demanda 2025]]-tblINFANTIL[[#This Row],[Estimación demanda 2024]])/tblINFANTIL[[#This Row],[Estimación demanda 2024]],"")</f>
        <v/>
      </c>
      <c r="P8" s="38" t="str">
        <f>IFERROR(tblINFANTIL[[#This Row],[Estimación demanda 2025]]*(1+tblINFANTIL[[#This Row],[Variación interanual 2024-2025]]),"")</f>
        <v/>
      </c>
      <c r="Q8" s="28"/>
      <c r="R8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8" s="22"/>
      <c r="T8" s="37" t="str">
        <f>IFERROR(IF(OR(C8="Propio",AND(C8="Integrado",OR(B8="T. monedero I",B8="T. monedero II",B8="Tít. multiviaje"))),tblINFANTIL[[#This Row],[Estimación demanda 2026]],tblINFANTIL[[#This Row],[Estimación demanda 2026]]*tblINFANTIL[[#This Row],[% medio utilización]]),"")</f>
        <v/>
      </c>
      <c r="U8" s="40">
        <f>tblINFANTIL[[#This Row],[Precio habitual sin descuento 
IVA INCLUIDO]]-tblINFANTIL[[#This Row],[Precio unitario con descuento 2026
IVA INCLUIDO]]</f>
        <v>0</v>
      </c>
      <c r="V8" s="40" t="str">
        <f>IFERROR(tblINFANTIL[[#This Row],[Unidades de demanda]]*tblINFANTIL[[#This Row],[Pérdida unitaria de ingresos]],"")</f>
        <v/>
      </c>
      <c r="W8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9" spans="1:23" x14ac:dyDescent="0.35">
      <c r="A9" s="15"/>
      <c r="B9" s="19"/>
      <c r="C9" s="19"/>
      <c r="D9" s="20"/>
      <c r="E9" s="62"/>
      <c r="F9" s="62"/>
      <c r="G9" s="61">
        <f t="shared" si="0"/>
        <v>1</v>
      </c>
      <c r="H9" s="57"/>
      <c r="I9" s="58"/>
      <c r="J9" s="54"/>
      <c r="K9" s="37" t="str" cm="1">
        <f t="array" ref="K9">IF(OR(B9="",C9=""),"",_xlfn.IFS(
AND(B9="Abono",C9="Propio"),"N.º de unidades vendidas",
AND(B9="Abono",C9="Integrado"),"N.º de unidades vendidas x % medio de utilización",
AND(B9="Tít. multiviaje",C9="Propio"),"N.º de unidades vendidas",
AND(B9="Tít. multiviaje",C9="Integrado"),"N.º de unidades vendidas x % medio de utilización",
AND(B9="T. monedero I",C9="Propio"),"N.º de cargas de crédito aplicadas",
AND(B9="T. monedero I",C9="Integrado"),"N.º de cargas de crédito aplicadas x % medio de utilización",
AND(B9="T. monedero II",C9="Propio"),"N.º de validaciones",
AND(B9="T. monedero II",C9="Integrado"),"N.º de validaciones"
))</f>
        <v/>
      </c>
      <c r="L9" s="26"/>
      <c r="M9" s="29"/>
      <c r="N9" s="17"/>
      <c r="O9" s="37" t="str">
        <f>IFERROR((tblINFANTIL[[#This Row],[Estimación demanda 2025]]-tblINFANTIL[[#This Row],[Estimación demanda 2024]])/tblINFANTIL[[#This Row],[Estimación demanda 2024]],"")</f>
        <v/>
      </c>
      <c r="P9" s="38" t="str">
        <f>IFERROR(tblINFANTIL[[#This Row],[Estimación demanda 2025]]*(1+tblINFANTIL[[#This Row],[Variación interanual 2024-2025]]),"")</f>
        <v/>
      </c>
      <c r="Q9" s="28"/>
      <c r="R9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9" s="22"/>
      <c r="T9" s="37" t="str">
        <f>IFERROR(IF(OR(C9="Propio",AND(C9="Integrado",OR(B9="T. monedero I",B9="T. monedero II",B9="Tít. multiviaje"))),tblINFANTIL[[#This Row],[Estimación demanda 2026]],tblINFANTIL[[#This Row],[Estimación demanda 2026]]*tblINFANTIL[[#This Row],[% medio utilización]]),"")</f>
        <v/>
      </c>
      <c r="U9" s="40">
        <f>tblINFANTIL[[#This Row],[Precio habitual sin descuento 
IVA INCLUIDO]]-tblINFANTIL[[#This Row],[Precio unitario con descuento 2026
IVA INCLUIDO]]</f>
        <v>0</v>
      </c>
      <c r="V9" s="40" t="str">
        <f>IFERROR(tblINFANTIL[[#This Row],[Unidades de demanda]]*tblINFANTIL[[#This Row],[Pérdida unitaria de ingresos]],"")</f>
        <v/>
      </c>
      <c r="W9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10" spans="1:23" x14ac:dyDescent="0.35">
      <c r="A10" s="15"/>
      <c r="B10" s="19"/>
      <c r="C10" s="19"/>
      <c r="D10" s="20"/>
      <c r="E10" s="62"/>
      <c r="F10" s="62"/>
      <c r="G10" s="61">
        <f t="shared" si="0"/>
        <v>1</v>
      </c>
      <c r="H10" s="57"/>
      <c r="I10" s="58"/>
      <c r="J10" s="54"/>
      <c r="K10" s="37" t="str" cm="1">
        <f t="array" ref="K10">IF(OR(B10="",C10=""),"",_xlfn.IFS(
AND(B10="Abono",C10="Propio"),"N.º de unidades vendidas",
AND(B10="Abono",C10="Integrado"),"N.º de unidades vendidas x % medio de utilización",
AND(B10="Tít. multiviaje",C10="Propio"),"N.º de unidades vendidas",
AND(B10="Tít. multiviaje",C10="Integrado"),"N.º de unidades vendidas x % medio de utilización",
AND(B10="T. monedero I",C10="Propio"),"N.º de cargas de crédito aplicadas",
AND(B10="T. monedero I",C10="Integrado"),"N.º de cargas de crédito aplicadas x % medio de utilización",
AND(B10="T. monedero II",C10="Propio"),"N.º de validaciones",
AND(B10="T. monedero II",C10="Integrado"),"N.º de validaciones"
))</f>
        <v/>
      </c>
      <c r="L10" s="26"/>
      <c r="M10" s="29"/>
      <c r="N10" s="17"/>
      <c r="O10" s="37" t="str">
        <f>IFERROR((tblINFANTIL[[#This Row],[Estimación demanda 2025]]-tblINFANTIL[[#This Row],[Estimación demanda 2024]])/tblINFANTIL[[#This Row],[Estimación demanda 2024]],"")</f>
        <v/>
      </c>
      <c r="P10" s="38" t="str">
        <f>IFERROR(tblINFANTIL[[#This Row],[Estimación demanda 2025]]*(1+tblINFANTIL[[#This Row],[Variación interanual 2024-2025]]),"")</f>
        <v/>
      </c>
      <c r="Q10" s="28"/>
      <c r="R10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10" s="22"/>
      <c r="T10" s="37" t="str">
        <f>IFERROR(IF(OR(C10="Propio",AND(C10="Integrado",OR(B10="T. monedero I",B10="T. monedero II",B10="Tít. multiviaje"))),tblINFANTIL[[#This Row],[Estimación demanda 2026]],tblINFANTIL[[#This Row],[Estimación demanda 2026]]*tblINFANTIL[[#This Row],[% medio utilización]]),"")</f>
        <v/>
      </c>
      <c r="U10" s="40">
        <f>tblINFANTIL[[#This Row],[Precio habitual sin descuento 
IVA INCLUIDO]]-tblINFANTIL[[#This Row],[Precio unitario con descuento 2026
IVA INCLUIDO]]</f>
        <v>0</v>
      </c>
      <c r="V10" s="40" t="str">
        <f>IFERROR(tblINFANTIL[[#This Row],[Unidades de demanda]]*tblINFANTIL[[#This Row],[Pérdida unitaria de ingresos]],"")</f>
        <v/>
      </c>
      <c r="W10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11" spans="1:23" x14ac:dyDescent="0.35">
      <c r="A11" s="15"/>
      <c r="B11" s="19"/>
      <c r="C11" s="19"/>
      <c r="D11" s="20"/>
      <c r="E11" s="62"/>
      <c r="F11" s="62"/>
      <c r="G11" s="61">
        <f t="shared" si="0"/>
        <v>1</v>
      </c>
      <c r="H11" s="57"/>
      <c r="I11" s="58"/>
      <c r="J11" s="54"/>
      <c r="K11" s="37" t="str" cm="1">
        <f t="array" ref="K11">IF(OR(B11="",C11=""),"",_xlfn.IFS(
AND(B11="Abono",C11="Propio"),"N.º de unidades vendidas",
AND(B11="Abono",C11="Integrado"),"N.º de unidades vendidas x % medio de utilización",
AND(B11="Tít. multiviaje",C11="Propio"),"N.º de unidades vendidas",
AND(B11="Tít. multiviaje",C11="Integrado"),"N.º de unidades vendidas x % medio de utilización",
AND(B11="T. monedero I",C11="Propio"),"N.º de cargas de crédito aplicadas",
AND(B11="T. monedero I",C11="Integrado"),"N.º de cargas de crédito aplicadas x % medio de utilización",
AND(B11="T. monedero II",C11="Propio"),"N.º de validaciones",
AND(B11="T. monedero II",C11="Integrado"),"N.º de validaciones"
))</f>
        <v/>
      </c>
      <c r="L11" s="26"/>
      <c r="M11" s="29"/>
      <c r="N11" s="17"/>
      <c r="O11" s="37" t="str">
        <f>IFERROR((tblINFANTIL[[#This Row],[Estimación demanda 2025]]-tblINFANTIL[[#This Row],[Estimación demanda 2024]])/tblINFANTIL[[#This Row],[Estimación demanda 2024]],"")</f>
        <v/>
      </c>
      <c r="P11" s="38" t="str">
        <f>IFERROR(tblINFANTIL[[#This Row],[Estimación demanda 2025]]*(1+tblINFANTIL[[#This Row],[Variación interanual 2024-2025]]),"")</f>
        <v/>
      </c>
      <c r="Q11" s="28"/>
      <c r="R11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11" s="22"/>
      <c r="T11" s="37" t="str">
        <f>IFERROR(IF(OR(C11="Propio",AND(C11="Integrado",OR(B11="T. monedero I",B11="T. monedero II",B11="Tít. multiviaje"))),tblINFANTIL[[#This Row],[Estimación demanda 2026]],tblINFANTIL[[#This Row],[Estimación demanda 2026]]*tblINFANTIL[[#This Row],[% medio utilización]]),"")</f>
        <v/>
      </c>
      <c r="U11" s="40">
        <f>tblINFANTIL[[#This Row],[Precio habitual sin descuento 
IVA INCLUIDO]]-tblINFANTIL[[#This Row],[Precio unitario con descuento 2026
IVA INCLUIDO]]</f>
        <v>0</v>
      </c>
      <c r="V11" s="40" t="str">
        <f>IFERROR(tblINFANTIL[[#This Row],[Unidades de demanda]]*tblINFANTIL[[#This Row],[Pérdida unitaria de ingresos]],"")</f>
        <v/>
      </c>
      <c r="W11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12" spans="1:23" x14ac:dyDescent="0.35">
      <c r="A12" s="15"/>
      <c r="B12" s="19"/>
      <c r="C12" s="19"/>
      <c r="D12" s="20"/>
      <c r="E12" s="62"/>
      <c r="F12" s="62"/>
      <c r="G12" s="61">
        <f t="shared" si="0"/>
        <v>1</v>
      </c>
      <c r="H12" s="57"/>
      <c r="I12" s="58"/>
      <c r="J12" s="54"/>
      <c r="K12" s="37" t="str" cm="1">
        <f t="array" ref="K12">IF(OR(B12="",C12=""),"",_xlfn.IFS(
AND(B12="Abono",C12="Propio"),"N.º de unidades vendidas",
AND(B12="Abono",C12="Integrado"),"N.º de unidades vendidas x % medio de utilización",
AND(B12="Tít. multiviaje",C12="Propio"),"N.º de unidades vendidas",
AND(B12="Tít. multiviaje",C12="Integrado"),"N.º de unidades vendidas x % medio de utilización",
AND(B12="T. monedero I",C12="Propio"),"N.º de cargas de crédito aplicadas",
AND(B12="T. monedero I",C12="Integrado"),"N.º de cargas de crédito aplicadas x % medio de utilización",
AND(B12="T. monedero II",C12="Propio"),"N.º de validaciones",
AND(B12="T. monedero II",C12="Integrado"),"N.º de validaciones"
))</f>
        <v/>
      </c>
      <c r="L12" s="26"/>
      <c r="M12" s="29"/>
      <c r="N12" s="17"/>
      <c r="O12" s="37" t="str">
        <f>IFERROR((tblINFANTIL[[#This Row],[Estimación demanda 2025]]-tblINFANTIL[[#This Row],[Estimación demanda 2024]])/tblINFANTIL[[#This Row],[Estimación demanda 2024]],"")</f>
        <v/>
      </c>
      <c r="P12" s="38" t="str">
        <f>IFERROR(tblINFANTIL[[#This Row],[Estimación demanda 2025]]*(1+tblINFANTIL[[#This Row],[Variación interanual 2024-2025]]),"")</f>
        <v/>
      </c>
      <c r="Q12" s="28"/>
      <c r="R12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12" s="22"/>
      <c r="T12" s="37" t="str">
        <f>IFERROR(IF(OR(C12="Propio",AND(C12="Integrado",OR(B12="T. monedero I",B12="T. monedero II",B12="Tít. multiviaje"))),tblINFANTIL[[#This Row],[Estimación demanda 2026]],tblINFANTIL[[#This Row],[Estimación demanda 2026]]*tblINFANTIL[[#This Row],[% medio utilización]]),"")</f>
        <v/>
      </c>
      <c r="U12" s="40">
        <f>tblINFANTIL[[#This Row],[Precio habitual sin descuento 
IVA INCLUIDO]]-tblINFANTIL[[#This Row],[Precio unitario con descuento 2026
IVA INCLUIDO]]</f>
        <v>0</v>
      </c>
      <c r="V12" s="40" t="str">
        <f>IFERROR(tblINFANTIL[[#This Row],[Unidades de demanda]]*tblINFANTIL[[#This Row],[Pérdida unitaria de ingresos]],"")</f>
        <v/>
      </c>
      <c r="W12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13" spans="1:23" x14ac:dyDescent="0.35">
      <c r="A13" s="15"/>
      <c r="B13" s="19"/>
      <c r="C13" s="19"/>
      <c r="D13" s="20"/>
      <c r="E13" s="62"/>
      <c r="F13" s="62"/>
      <c r="G13" s="61">
        <f t="shared" si="0"/>
        <v>1</v>
      </c>
      <c r="H13" s="57"/>
      <c r="I13" s="58"/>
      <c r="J13" s="54"/>
      <c r="K13" s="37" t="str" cm="1">
        <f t="array" ref="K13">IF(OR(B13="",C13=""),"",_xlfn.IFS(
AND(B13="Abono",C13="Propio"),"N.º de unidades vendidas",
AND(B13="Abono",C13="Integrado"),"N.º de unidades vendidas x % medio de utilización",
AND(B13="Tít. multiviaje",C13="Propio"),"N.º de unidades vendidas",
AND(B13="Tít. multiviaje",C13="Integrado"),"N.º de unidades vendidas x % medio de utilización",
AND(B13="T. monedero I",C13="Propio"),"N.º de cargas de crédito aplicadas",
AND(B13="T. monedero I",C13="Integrado"),"N.º de cargas de crédito aplicadas x % medio de utilización",
AND(B13="T. monedero II",C13="Propio"),"N.º de validaciones",
AND(B13="T. monedero II",C13="Integrado"),"N.º de validaciones"
))</f>
        <v/>
      </c>
      <c r="L13" s="26"/>
      <c r="M13" s="29"/>
      <c r="N13" s="17"/>
      <c r="O13" s="37" t="str">
        <f>IFERROR((tblINFANTIL[[#This Row],[Estimación demanda 2025]]-tblINFANTIL[[#This Row],[Estimación demanda 2024]])/tblINFANTIL[[#This Row],[Estimación demanda 2024]],"")</f>
        <v/>
      </c>
      <c r="P13" s="38" t="str">
        <f>IFERROR(tblINFANTIL[[#This Row],[Estimación demanda 2025]]*(1+tblINFANTIL[[#This Row],[Variación interanual 2024-2025]]),"")</f>
        <v/>
      </c>
      <c r="Q13" s="28"/>
      <c r="R13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13" s="22"/>
      <c r="T13" s="37" t="str">
        <f>IFERROR(IF(OR(C13="Propio",AND(C13="Integrado",OR(B13="T. monedero I",B13="T. monedero II",B13="Tít. multiviaje"))),tblINFANTIL[[#This Row],[Estimación demanda 2026]],tblINFANTIL[[#This Row],[Estimación demanda 2026]]*tblINFANTIL[[#This Row],[% medio utilización]]),"")</f>
        <v/>
      </c>
      <c r="U13" s="40">
        <f>tblINFANTIL[[#This Row],[Precio habitual sin descuento 
IVA INCLUIDO]]-tblINFANTIL[[#This Row],[Precio unitario con descuento 2026
IVA INCLUIDO]]</f>
        <v>0</v>
      </c>
      <c r="V13" s="40" t="str">
        <f>IFERROR(tblINFANTIL[[#This Row],[Unidades de demanda]]*tblINFANTIL[[#This Row],[Pérdida unitaria de ingresos]],"")</f>
        <v/>
      </c>
      <c r="W13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14" spans="1:23" x14ac:dyDescent="0.35">
      <c r="A14" s="15"/>
      <c r="B14" s="19"/>
      <c r="C14" s="19"/>
      <c r="D14" s="20"/>
      <c r="E14" s="62"/>
      <c r="F14" s="62"/>
      <c r="G14" s="61">
        <f t="shared" si="0"/>
        <v>1</v>
      </c>
      <c r="H14" s="57"/>
      <c r="I14" s="58"/>
      <c r="J14" s="54"/>
      <c r="K14" s="37" t="str" cm="1">
        <f t="array" ref="K14">IF(OR(B14="",C14=""),"",_xlfn.IFS(
AND(B14="Abono",C14="Propio"),"N.º de unidades vendidas",
AND(B14="Abono",C14="Integrado"),"N.º de unidades vendidas x % medio de utilización",
AND(B14="Tít. multiviaje",C14="Propio"),"N.º de unidades vendidas",
AND(B14="Tít. multiviaje",C14="Integrado"),"N.º de unidades vendidas x % medio de utilización",
AND(B14="T. monedero I",C14="Propio"),"N.º de cargas de crédito aplicadas",
AND(B14="T. monedero I",C14="Integrado"),"N.º de cargas de crédito aplicadas x % medio de utilización",
AND(B14="T. monedero II",C14="Propio"),"N.º de validaciones",
AND(B14="T. monedero II",C14="Integrado"),"N.º de validaciones"
))</f>
        <v/>
      </c>
      <c r="L14" s="26"/>
      <c r="M14" s="29"/>
      <c r="N14" s="17"/>
      <c r="O14" s="37" t="str">
        <f>IFERROR((tblINFANTIL[[#This Row],[Estimación demanda 2025]]-tblINFANTIL[[#This Row],[Estimación demanda 2024]])/tblINFANTIL[[#This Row],[Estimación demanda 2024]],"")</f>
        <v/>
      </c>
      <c r="P14" s="38" t="str">
        <f>IFERROR(tblINFANTIL[[#This Row],[Estimación demanda 2025]]*(1+tblINFANTIL[[#This Row],[Variación interanual 2024-2025]]),"")</f>
        <v/>
      </c>
      <c r="Q14" s="28"/>
      <c r="R14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14" s="22"/>
      <c r="T14" s="37" t="str">
        <f>IFERROR(IF(OR(C14="Propio",AND(C14="Integrado",OR(B14="T. monedero I",B14="T. monedero II",B14="Tít. multiviaje"))),tblINFANTIL[[#This Row],[Estimación demanda 2026]],tblINFANTIL[[#This Row],[Estimación demanda 2026]]*tblINFANTIL[[#This Row],[% medio utilización]]),"")</f>
        <v/>
      </c>
      <c r="U14" s="40">
        <f>tblINFANTIL[[#This Row],[Precio habitual sin descuento 
IVA INCLUIDO]]-tblINFANTIL[[#This Row],[Precio unitario con descuento 2026
IVA INCLUIDO]]</f>
        <v>0</v>
      </c>
      <c r="V14" s="40" t="str">
        <f>IFERROR(tblINFANTIL[[#This Row],[Unidades de demanda]]*tblINFANTIL[[#This Row],[Pérdida unitaria de ingresos]],"")</f>
        <v/>
      </c>
      <c r="W14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15" spans="1:23" x14ac:dyDescent="0.35">
      <c r="A15" s="15"/>
      <c r="B15" s="19"/>
      <c r="C15" s="19"/>
      <c r="D15" s="20"/>
      <c r="E15" s="62"/>
      <c r="F15" s="62"/>
      <c r="G15" s="61">
        <f t="shared" si="0"/>
        <v>1</v>
      </c>
      <c r="H15" s="57"/>
      <c r="I15" s="58"/>
      <c r="J15" s="54"/>
      <c r="K15" s="37" t="str" cm="1">
        <f t="array" ref="K15">IF(OR(B15="",C15=""),"",_xlfn.IFS(
AND(B15="Abono",C15="Propio"),"N.º de unidades vendidas",
AND(B15="Abono",C15="Integrado"),"N.º de unidades vendidas x % medio de utilización",
AND(B15="Tít. multiviaje",C15="Propio"),"N.º de unidades vendidas",
AND(B15="Tít. multiviaje",C15="Integrado"),"N.º de unidades vendidas x % medio de utilización",
AND(B15="T. monedero I",C15="Propio"),"N.º de cargas de crédito aplicadas",
AND(B15="T. monedero I",C15="Integrado"),"N.º de cargas de crédito aplicadas x % medio de utilización",
AND(B15="T. monedero II",C15="Propio"),"N.º de validaciones",
AND(B15="T. monedero II",C15="Integrado"),"N.º de validaciones"
))</f>
        <v/>
      </c>
      <c r="L15" s="26"/>
      <c r="M15" s="29"/>
      <c r="N15" s="17"/>
      <c r="O15" s="37" t="str">
        <f>IFERROR((tblINFANTIL[[#This Row],[Estimación demanda 2025]]-tblINFANTIL[[#This Row],[Estimación demanda 2024]])/tblINFANTIL[[#This Row],[Estimación demanda 2024]],"")</f>
        <v/>
      </c>
      <c r="P15" s="38" t="str">
        <f>IFERROR(tblINFANTIL[[#This Row],[Estimación demanda 2025]]*(1+tblINFANTIL[[#This Row],[Variación interanual 2024-2025]]),"")</f>
        <v/>
      </c>
      <c r="Q15" s="28"/>
      <c r="R15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15" s="22"/>
      <c r="T15" s="37" t="str">
        <f>IFERROR(IF(OR(C15="Propio",AND(C15="Integrado",OR(B15="T. monedero I",B15="T. monedero II",B15="Tít. multiviaje"))),tblINFANTIL[[#This Row],[Estimación demanda 2026]],tblINFANTIL[[#This Row],[Estimación demanda 2026]]*tblINFANTIL[[#This Row],[% medio utilización]]),"")</f>
        <v/>
      </c>
      <c r="U15" s="40">
        <f>tblINFANTIL[[#This Row],[Precio habitual sin descuento 
IVA INCLUIDO]]-tblINFANTIL[[#This Row],[Precio unitario con descuento 2026
IVA INCLUIDO]]</f>
        <v>0</v>
      </c>
      <c r="V15" s="40" t="str">
        <f>IFERROR(tblINFANTIL[[#This Row],[Unidades de demanda]]*tblINFANTIL[[#This Row],[Pérdida unitaria de ingresos]],"")</f>
        <v/>
      </c>
      <c r="W15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16" spans="1:23" x14ac:dyDescent="0.35">
      <c r="A16" s="15"/>
      <c r="B16" s="19"/>
      <c r="C16" s="19"/>
      <c r="D16" s="20"/>
      <c r="E16" s="62"/>
      <c r="F16" s="62"/>
      <c r="G16" s="61">
        <f t="shared" si="0"/>
        <v>1</v>
      </c>
      <c r="H16" s="57"/>
      <c r="I16" s="58"/>
      <c r="J16" s="54"/>
      <c r="K16" s="37" t="str" cm="1">
        <f t="array" ref="K16">IF(OR(B16="",C16=""),"",_xlfn.IFS(
AND(B16="Abono",C16="Propio"),"N.º de unidades vendidas",
AND(B16="Abono",C16="Integrado"),"N.º de unidades vendidas x % medio de utilización",
AND(B16="Tít. multiviaje",C16="Propio"),"N.º de unidades vendidas",
AND(B16="Tít. multiviaje",C16="Integrado"),"N.º de unidades vendidas x % medio de utilización",
AND(B16="T. monedero I",C16="Propio"),"N.º de cargas de crédito aplicadas",
AND(B16="T. monedero I",C16="Integrado"),"N.º de cargas de crédito aplicadas x % medio de utilización",
AND(B16="T. monedero II",C16="Propio"),"N.º de validaciones",
AND(B16="T. monedero II",C16="Integrado"),"N.º de validaciones"
))</f>
        <v/>
      </c>
      <c r="L16" s="26"/>
      <c r="M16" s="29"/>
      <c r="N16" s="17"/>
      <c r="O16" s="37" t="str">
        <f>IFERROR((tblINFANTIL[[#This Row],[Estimación demanda 2025]]-tblINFANTIL[[#This Row],[Estimación demanda 2024]])/tblINFANTIL[[#This Row],[Estimación demanda 2024]],"")</f>
        <v/>
      </c>
      <c r="P16" s="38" t="str">
        <f>IFERROR(tblINFANTIL[[#This Row],[Estimación demanda 2025]]*(1+tblINFANTIL[[#This Row],[Variación interanual 2024-2025]]),"")</f>
        <v/>
      </c>
      <c r="Q16" s="28"/>
      <c r="R16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16" s="22"/>
      <c r="T16" s="37" t="str">
        <f>IFERROR(IF(OR(C16="Propio",AND(C16="Integrado",OR(B16="T. monedero I",B16="T. monedero II",B16="Tít. multiviaje"))),tblINFANTIL[[#This Row],[Estimación demanda 2026]],tblINFANTIL[[#This Row],[Estimación demanda 2026]]*tblINFANTIL[[#This Row],[% medio utilización]]),"")</f>
        <v/>
      </c>
      <c r="U16" s="40">
        <f>tblINFANTIL[[#This Row],[Precio habitual sin descuento 
IVA INCLUIDO]]-tblINFANTIL[[#This Row],[Precio unitario con descuento 2026
IVA INCLUIDO]]</f>
        <v>0</v>
      </c>
      <c r="V16" s="40" t="str">
        <f>IFERROR(tblINFANTIL[[#This Row],[Unidades de demanda]]*tblINFANTIL[[#This Row],[Pérdida unitaria de ingresos]],"")</f>
        <v/>
      </c>
      <c r="W16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17" spans="1:23" x14ac:dyDescent="0.35">
      <c r="A17" s="15"/>
      <c r="B17" s="19"/>
      <c r="C17" s="19"/>
      <c r="D17" s="20"/>
      <c r="E17" s="62"/>
      <c r="F17" s="62"/>
      <c r="G17" s="61">
        <f t="shared" si="0"/>
        <v>1</v>
      </c>
      <c r="H17" s="57"/>
      <c r="I17" s="58"/>
      <c r="J17" s="54"/>
      <c r="K17" s="37" t="str" cm="1">
        <f t="array" ref="K17">IF(OR(B17="",C17=""),"",_xlfn.IFS(
AND(B17="Abono",C17="Propio"),"N.º de unidades vendidas",
AND(B17="Abono",C17="Integrado"),"N.º de unidades vendidas x % medio de utilización",
AND(B17="Tít. multiviaje",C17="Propio"),"N.º de unidades vendidas",
AND(B17="Tít. multiviaje",C17="Integrado"),"N.º de unidades vendidas x % medio de utilización",
AND(B17="T. monedero I",C17="Propio"),"N.º de cargas de crédito aplicadas",
AND(B17="T. monedero I",C17="Integrado"),"N.º de cargas de crédito aplicadas x % medio de utilización",
AND(B17="T. monedero II",C17="Propio"),"N.º de validaciones",
AND(B17="T. monedero II",C17="Integrado"),"N.º de validaciones"
))</f>
        <v/>
      </c>
      <c r="L17" s="26"/>
      <c r="M17" s="29"/>
      <c r="N17" s="17"/>
      <c r="O17" s="37" t="str">
        <f>IFERROR((tblINFANTIL[[#This Row],[Estimación demanda 2025]]-tblINFANTIL[[#This Row],[Estimación demanda 2024]])/tblINFANTIL[[#This Row],[Estimación demanda 2024]],"")</f>
        <v/>
      </c>
      <c r="P17" s="38" t="str">
        <f>IFERROR(tblINFANTIL[[#This Row],[Estimación demanda 2025]]*(1+tblINFANTIL[[#This Row],[Variación interanual 2024-2025]]),"")</f>
        <v/>
      </c>
      <c r="Q17" s="28"/>
      <c r="R17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17" s="22"/>
      <c r="T17" s="37" t="str">
        <f>IFERROR(IF(OR(C17="Propio",AND(C17="Integrado",OR(B17="T. monedero I",B17="T. monedero II",B17="Tít. multiviaje"))),tblINFANTIL[[#This Row],[Estimación demanda 2026]],tblINFANTIL[[#This Row],[Estimación demanda 2026]]*tblINFANTIL[[#This Row],[% medio utilización]]),"")</f>
        <v/>
      </c>
      <c r="U17" s="40">
        <f>tblINFANTIL[[#This Row],[Precio habitual sin descuento 
IVA INCLUIDO]]-tblINFANTIL[[#This Row],[Precio unitario con descuento 2026
IVA INCLUIDO]]</f>
        <v>0</v>
      </c>
      <c r="V17" s="40" t="str">
        <f>IFERROR(tblINFANTIL[[#This Row],[Unidades de demanda]]*tblINFANTIL[[#This Row],[Pérdida unitaria de ingresos]],"")</f>
        <v/>
      </c>
      <c r="W17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18" spans="1:23" x14ac:dyDescent="0.35">
      <c r="A18" s="15"/>
      <c r="B18" s="19"/>
      <c r="C18" s="19"/>
      <c r="D18" s="20"/>
      <c r="E18" s="62"/>
      <c r="F18" s="62"/>
      <c r="G18" s="61">
        <f t="shared" si="0"/>
        <v>1</v>
      </c>
      <c r="H18" s="57"/>
      <c r="I18" s="58"/>
      <c r="J18" s="54"/>
      <c r="K18" s="37" t="str" cm="1">
        <f t="array" ref="K18">IF(OR(B18="",C18=""),"",_xlfn.IFS(
AND(B18="Abono",C18="Propio"),"N.º de unidades vendidas",
AND(B18="Abono",C18="Integrado"),"N.º de unidades vendidas x % medio de utilización",
AND(B18="Tít. multiviaje",C18="Propio"),"N.º de unidades vendidas",
AND(B18="Tít. multiviaje",C18="Integrado"),"N.º de unidades vendidas x % medio de utilización",
AND(B18="T. monedero I",C18="Propio"),"N.º de cargas de crédito aplicadas",
AND(B18="T. monedero I",C18="Integrado"),"N.º de cargas de crédito aplicadas x % medio de utilización",
AND(B18="T. monedero II",C18="Propio"),"N.º de validaciones",
AND(B18="T. monedero II",C18="Integrado"),"N.º de validaciones"
))</f>
        <v/>
      </c>
      <c r="L18" s="26"/>
      <c r="M18" s="29"/>
      <c r="N18" s="17"/>
      <c r="O18" s="37" t="str">
        <f>IFERROR((tblINFANTIL[[#This Row],[Estimación demanda 2025]]-tblINFANTIL[[#This Row],[Estimación demanda 2024]])/tblINFANTIL[[#This Row],[Estimación demanda 2024]],"")</f>
        <v/>
      </c>
      <c r="P18" s="38" t="str">
        <f>IFERROR(tblINFANTIL[[#This Row],[Estimación demanda 2025]]*(1+tblINFANTIL[[#This Row],[Variación interanual 2024-2025]]),"")</f>
        <v/>
      </c>
      <c r="Q18" s="28"/>
      <c r="R18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18" s="22"/>
      <c r="T18" s="37" t="str">
        <f>IFERROR(IF(OR(C18="Propio",AND(C18="Integrado",OR(B18="T. monedero I",B18="T. monedero II",B18="Tít. multiviaje"))),tblINFANTIL[[#This Row],[Estimación demanda 2026]],tblINFANTIL[[#This Row],[Estimación demanda 2026]]*tblINFANTIL[[#This Row],[% medio utilización]]),"")</f>
        <v/>
      </c>
      <c r="U18" s="40">
        <f>tblINFANTIL[[#This Row],[Precio habitual sin descuento 
IVA INCLUIDO]]-tblINFANTIL[[#This Row],[Precio unitario con descuento 2026
IVA INCLUIDO]]</f>
        <v>0</v>
      </c>
      <c r="V18" s="40" t="str">
        <f>IFERROR(tblINFANTIL[[#This Row],[Unidades de demanda]]*tblINFANTIL[[#This Row],[Pérdida unitaria de ingresos]],"")</f>
        <v/>
      </c>
      <c r="W18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19" spans="1:23" x14ac:dyDescent="0.35">
      <c r="A19" s="15"/>
      <c r="B19" s="19"/>
      <c r="C19" s="19"/>
      <c r="D19" s="20"/>
      <c r="E19" s="62"/>
      <c r="F19" s="62"/>
      <c r="G19" s="61">
        <f t="shared" si="0"/>
        <v>1</v>
      </c>
      <c r="H19" s="57"/>
      <c r="I19" s="58"/>
      <c r="J19" s="54"/>
      <c r="K19" s="37" t="str" cm="1">
        <f t="array" ref="K19">IF(OR(B19="",C19=""),"",_xlfn.IFS(
AND(B19="Abono",C19="Propio"),"N.º de unidades vendidas",
AND(B19="Abono",C19="Integrado"),"N.º de unidades vendidas x % medio de utilización",
AND(B19="Tít. multiviaje",C19="Propio"),"N.º de unidades vendidas",
AND(B19="Tít. multiviaje",C19="Integrado"),"N.º de unidades vendidas x % medio de utilización",
AND(B19="T. monedero I",C19="Propio"),"N.º de cargas de crédito aplicadas",
AND(B19="T. monedero I",C19="Integrado"),"N.º de cargas de crédito aplicadas x % medio de utilización",
AND(B19="T. monedero II",C19="Propio"),"N.º de validaciones",
AND(B19="T. monedero II",C19="Integrado"),"N.º de validaciones"
))</f>
        <v/>
      </c>
      <c r="L19" s="26"/>
      <c r="M19" s="29"/>
      <c r="N19" s="17"/>
      <c r="O19" s="37" t="str">
        <f>IFERROR((tblINFANTIL[[#This Row],[Estimación demanda 2025]]-tblINFANTIL[[#This Row],[Estimación demanda 2024]])/tblINFANTIL[[#This Row],[Estimación demanda 2024]],"")</f>
        <v/>
      </c>
      <c r="P19" s="38" t="str">
        <f>IFERROR(tblINFANTIL[[#This Row],[Estimación demanda 2025]]*(1+tblINFANTIL[[#This Row],[Variación interanual 2024-2025]]),"")</f>
        <v/>
      </c>
      <c r="Q19" s="28"/>
      <c r="R19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19" s="22"/>
      <c r="T19" s="37" t="str">
        <f>IFERROR(IF(OR(C19="Propio",AND(C19="Integrado",OR(B19="T. monedero I",B19="T. monedero II",B19="Tít. multiviaje"))),tblINFANTIL[[#This Row],[Estimación demanda 2026]],tblINFANTIL[[#This Row],[Estimación demanda 2026]]*tblINFANTIL[[#This Row],[% medio utilización]]),"")</f>
        <v/>
      </c>
      <c r="U19" s="40">
        <f>tblINFANTIL[[#This Row],[Precio habitual sin descuento 
IVA INCLUIDO]]-tblINFANTIL[[#This Row],[Precio unitario con descuento 2026
IVA INCLUIDO]]</f>
        <v>0</v>
      </c>
      <c r="V19" s="40" t="str">
        <f>IFERROR(tblINFANTIL[[#This Row],[Unidades de demanda]]*tblINFANTIL[[#This Row],[Pérdida unitaria de ingresos]],"")</f>
        <v/>
      </c>
      <c r="W19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20" spans="1:23" x14ac:dyDescent="0.35">
      <c r="A20" s="15"/>
      <c r="B20" s="19"/>
      <c r="C20" s="19"/>
      <c r="D20" s="20"/>
      <c r="E20" s="62"/>
      <c r="F20" s="62"/>
      <c r="G20" s="61">
        <f t="shared" si="0"/>
        <v>1</v>
      </c>
      <c r="H20" s="57"/>
      <c r="I20" s="58"/>
      <c r="J20" s="54"/>
      <c r="K20" s="37" t="str" cm="1">
        <f t="array" ref="K20">IF(OR(B20="",C20=""),"",_xlfn.IFS(
AND(B20="Abono",C20="Propio"),"N.º de unidades vendidas",
AND(B20="Abono",C20="Integrado"),"N.º de unidades vendidas x % medio de utilización",
AND(B20="Tít. multiviaje",C20="Propio"),"N.º de unidades vendidas",
AND(B20="Tít. multiviaje",C20="Integrado"),"N.º de unidades vendidas x % medio de utilización",
AND(B20="T. monedero I",C20="Propio"),"N.º de cargas de crédito aplicadas",
AND(B20="T. monedero I",C20="Integrado"),"N.º de cargas de crédito aplicadas x % medio de utilización",
AND(B20="T. monedero II",C20="Propio"),"N.º de validaciones",
AND(B20="T. monedero II",C20="Integrado"),"N.º de validaciones"
))</f>
        <v/>
      </c>
      <c r="L20" s="26"/>
      <c r="M20" s="29"/>
      <c r="N20" s="17"/>
      <c r="O20" s="37" t="str">
        <f>IFERROR((tblINFANTIL[[#This Row],[Estimación demanda 2025]]-tblINFANTIL[[#This Row],[Estimación demanda 2024]])/tblINFANTIL[[#This Row],[Estimación demanda 2024]],"")</f>
        <v/>
      </c>
      <c r="P20" s="38" t="str">
        <f>IFERROR(tblINFANTIL[[#This Row],[Estimación demanda 2025]]*(1+tblINFANTIL[[#This Row],[Variación interanual 2024-2025]]),"")</f>
        <v/>
      </c>
      <c r="Q20" s="28"/>
      <c r="R20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20" s="22"/>
      <c r="T20" s="37" t="str">
        <f>IFERROR(IF(OR(C20="Propio",AND(C20="Integrado",OR(B20="T. monedero I",B20="T. monedero II",B20="Tít. multiviaje"))),tblINFANTIL[[#This Row],[Estimación demanda 2026]],tblINFANTIL[[#This Row],[Estimación demanda 2026]]*tblINFANTIL[[#This Row],[% medio utilización]]),"")</f>
        <v/>
      </c>
      <c r="U20" s="40">
        <f>tblINFANTIL[[#This Row],[Precio habitual sin descuento 
IVA INCLUIDO]]-tblINFANTIL[[#This Row],[Precio unitario con descuento 2026
IVA INCLUIDO]]</f>
        <v>0</v>
      </c>
      <c r="V20" s="40" t="str">
        <f>IFERROR(tblINFANTIL[[#This Row],[Unidades de demanda]]*tblINFANTIL[[#This Row],[Pérdida unitaria de ingresos]],"")</f>
        <v/>
      </c>
      <c r="W20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21" spans="1:23" x14ac:dyDescent="0.35">
      <c r="A21" s="15"/>
      <c r="B21" s="19"/>
      <c r="C21" s="19"/>
      <c r="D21" s="20"/>
      <c r="E21" s="62"/>
      <c r="F21" s="62"/>
      <c r="G21" s="61">
        <f t="shared" si="0"/>
        <v>1</v>
      </c>
      <c r="H21" s="57"/>
      <c r="I21" s="58"/>
      <c r="J21" s="54"/>
      <c r="K21" s="37" t="str" cm="1">
        <f t="array" ref="K21">IF(OR(B21="",C21=""),"",_xlfn.IFS(
AND(B21="Abono",C21="Propio"),"N.º de unidades vendidas",
AND(B21="Abono",C21="Integrado"),"N.º de unidades vendidas x % medio de utilización",
AND(B21="Tít. multiviaje",C21="Propio"),"N.º de unidades vendidas",
AND(B21="Tít. multiviaje",C21="Integrado"),"N.º de unidades vendidas x % medio de utilización",
AND(B21="T. monedero I",C21="Propio"),"N.º de cargas de crédito aplicadas",
AND(B21="T. monedero I",C21="Integrado"),"N.º de cargas de crédito aplicadas x % medio de utilización",
AND(B21="T. monedero II",C21="Propio"),"N.º de validaciones",
AND(B21="T. monedero II",C21="Integrado"),"N.º de validaciones"
))</f>
        <v/>
      </c>
      <c r="L21" s="26"/>
      <c r="M21" s="29"/>
      <c r="N21" s="17"/>
      <c r="O21" s="37" t="str">
        <f>IFERROR((tblINFANTIL[[#This Row],[Estimación demanda 2025]]-tblINFANTIL[[#This Row],[Estimación demanda 2024]])/tblINFANTIL[[#This Row],[Estimación demanda 2024]],"")</f>
        <v/>
      </c>
      <c r="P21" s="38" t="str">
        <f>IFERROR(tblINFANTIL[[#This Row],[Estimación demanda 2025]]*(1+tblINFANTIL[[#This Row],[Variación interanual 2024-2025]]),"")</f>
        <v/>
      </c>
      <c r="Q21" s="28"/>
      <c r="R21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21" s="22"/>
      <c r="T21" s="37" t="str">
        <f>IFERROR(IF(OR(C21="Propio",AND(C21="Integrado",OR(B21="T. monedero I",B21="T. monedero II",B21="Tít. multiviaje"))),tblINFANTIL[[#This Row],[Estimación demanda 2026]],tblINFANTIL[[#This Row],[Estimación demanda 2026]]*tblINFANTIL[[#This Row],[% medio utilización]]),"")</f>
        <v/>
      </c>
      <c r="U21" s="40">
        <f>tblINFANTIL[[#This Row],[Precio habitual sin descuento 
IVA INCLUIDO]]-tblINFANTIL[[#This Row],[Precio unitario con descuento 2026
IVA INCLUIDO]]</f>
        <v>0</v>
      </c>
      <c r="V21" s="40" t="str">
        <f>IFERROR(tblINFANTIL[[#This Row],[Unidades de demanda]]*tblINFANTIL[[#This Row],[Pérdida unitaria de ingresos]],"")</f>
        <v/>
      </c>
      <c r="W21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22" spans="1:23" x14ac:dyDescent="0.35">
      <c r="A22" s="15"/>
      <c r="B22" s="19"/>
      <c r="C22" s="19"/>
      <c r="D22" s="20"/>
      <c r="E22" s="62"/>
      <c r="F22" s="62"/>
      <c r="G22" s="61">
        <f t="shared" si="0"/>
        <v>1</v>
      </c>
      <c r="H22" s="57"/>
      <c r="I22" s="58"/>
      <c r="J22" s="54"/>
      <c r="K22" s="37" t="str" cm="1">
        <f t="array" ref="K22">IF(OR(B22="",C22=""),"",_xlfn.IFS(
AND(B22="Abono",C22="Propio"),"N.º de unidades vendidas",
AND(B22="Abono",C22="Integrado"),"N.º de unidades vendidas x % medio de utilización",
AND(B22="Tít. multiviaje",C22="Propio"),"N.º de unidades vendidas",
AND(B22="Tít. multiviaje",C22="Integrado"),"N.º de unidades vendidas x % medio de utilización",
AND(B22="T. monedero I",C22="Propio"),"N.º de cargas de crédito aplicadas",
AND(B22="T. monedero I",C22="Integrado"),"N.º de cargas de crédito aplicadas x % medio de utilización",
AND(B22="T. monedero II",C22="Propio"),"N.º de validaciones",
AND(B22="T. monedero II",C22="Integrado"),"N.º de validaciones"
))</f>
        <v/>
      </c>
      <c r="L22" s="26"/>
      <c r="M22" s="29"/>
      <c r="N22" s="17"/>
      <c r="O22" s="37" t="str">
        <f>IFERROR((tblINFANTIL[[#This Row],[Estimación demanda 2025]]-tblINFANTIL[[#This Row],[Estimación demanda 2024]])/tblINFANTIL[[#This Row],[Estimación demanda 2024]],"")</f>
        <v/>
      </c>
      <c r="P22" s="38" t="str">
        <f>IFERROR(tblINFANTIL[[#This Row],[Estimación demanda 2025]]*(1+tblINFANTIL[[#This Row],[Variación interanual 2024-2025]]),"")</f>
        <v/>
      </c>
      <c r="Q22" s="28"/>
      <c r="R22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22" s="22"/>
      <c r="T22" s="37" t="str">
        <f>IFERROR(IF(OR(C22="Propio",AND(C22="Integrado",OR(B22="T. monedero I",B22="T. monedero II",B22="Tít. multiviaje"))),tblINFANTIL[[#This Row],[Estimación demanda 2026]],tblINFANTIL[[#This Row],[Estimación demanda 2026]]*tblINFANTIL[[#This Row],[% medio utilización]]),"")</f>
        <v/>
      </c>
      <c r="U22" s="40">
        <f>tblINFANTIL[[#This Row],[Precio habitual sin descuento 
IVA INCLUIDO]]-tblINFANTIL[[#This Row],[Precio unitario con descuento 2026
IVA INCLUIDO]]</f>
        <v>0</v>
      </c>
      <c r="V22" s="40" t="str">
        <f>IFERROR(tblINFANTIL[[#This Row],[Unidades de demanda]]*tblINFANTIL[[#This Row],[Pérdida unitaria de ingresos]],"")</f>
        <v/>
      </c>
      <c r="W22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23" spans="1:23" x14ac:dyDescent="0.35">
      <c r="A23" s="15"/>
      <c r="B23" s="19"/>
      <c r="C23" s="19"/>
      <c r="D23" s="20"/>
      <c r="E23" s="62"/>
      <c r="F23" s="62"/>
      <c r="G23" s="61">
        <f t="shared" si="0"/>
        <v>1</v>
      </c>
      <c r="H23" s="57"/>
      <c r="I23" s="58"/>
      <c r="J23" s="54"/>
      <c r="K23" s="37" t="str" cm="1">
        <f t="array" ref="K23">IF(OR(B23="",C23=""),"",_xlfn.IFS(
AND(B23="Abono",C23="Propio"),"N.º de unidades vendidas",
AND(B23="Abono",C23="Integrado"),"N.º de unidades vendidas x % medio de utilización",
AND(B23="Tít. multiviaje",C23="Propio"),"N.º de unidades vendidas",
AND(B23="Tít. multiviaje",C23="Integrado"),"N.º de unidades vendidas x % medio de utilización",
AND(B23="T. monedero I",C23="Propio"),"N.º de cargas de crédito aplicadas",
AND(B23="T. monedero I",C23="Integrado"),"N.º de cargas de crédito aplicadas x % medio de utilización",
AND(B23="T. monedero II",C23="Propio"),"N.º de validaciones",
AND(B23="T. monedero II",C23="Integrado"),"N.º de validaciones"
))</f>
        <v/>
      </c>
      <c r="L23" s="26"/>
      <c r="M23" s="29"/>
      <c r="N23" s="17"/>
      <c r="O23" s="37" t="str">
        <f>IFERROR((tblINFANTIL[[#This Row],[Estimación demanda 2025]]-tblINFANTIL[[#This Row],[Estimación demanda 2024]])/tblINFANTIL[[#This Row],[Estimación demanda 2024]],"")</f>
        <v/>
      </c>
      <c r="P23" s="38" t="str">
        <f>IFERROR(tblINFANTIL[[#This Row],[Estimación demanda 2025]]*(1+tblINFANTIL[[#This Row],[Variación interanual 2024-2025]]),"")</f>
        <v/>
      </c>
      <c r="Q23" s="28"/>
      <c r="R23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23" s="22"/>
      <c r="T23" s="37" t="str">
        <f>IFERROR(IF(OR(C23="Propio",AND(C23="Integrado",OR(B23="T. monedero I",B23="T. monedero II",B23="Tít. multiviaje"))),tblINFANTIL[[#This Row],[Estimación demanda 2026]],tblINFANTIL[[#This Row],[Estimación demanda 2026]]*tblINFANTIL[[#This Row],[% medio utilización]]),"")</f>
        <v/>
      </c>
      <c r="U23" s="40">
        <f>tblINFANTIL[[#This Row],[Precio habitual sin descuento 
IVA INCLUIDO]]-tblINFANTIL[[#This Row],[Precio unitario con descuento 2026
IVA INCLUIDO]]</f>
        <v>0</v>
      </c>
      <c r="V23" s="40" t="str">
        <f>IFERROR(tblINFANTIL[[#This Row],[Unidades de demanda]]*tblINFANTIL[[#This Row],[Pérdida unitaria de ingresos]],"")</f>
        <v/>
      </c>
      <c r="W23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24" spans="1:23" x14ac:dyDescent="0.35">
      <c r="A24" s="15"/>
      <c r="B24" s="19"/>
      <c r="C24" s="19"/>
      <c r="D24" s="18"/>
      <c r="E24" s="62"/>
      <c r="F24" s="62"/>
      <c r="G24" s="61">
        <f t="shared" si="0"/>
        <v>1</v>
      </c>
      <c r="H24" s="57"/>
      <c r="I24" s="58"/>
      <c r="J24" s="54"/>
      <c r="K24" s="37" t="str" cm="1">
        <f t="array" ref="K24">IF(OR(B24="",C24=""),"",_xlfn.IFS(
AND(B24="Abono",C24="Propio"),"N.º de unidades vendidas",
AND(B24="Abono",C24="Integrado"),"N.º de unidades vendidas x % medio de utilización",
AND(B24="Tít. multiviaje",C24="Propio"),"N.º de unidades vendidas",
AND(B24="Tít. multiviaje",C24="Integrado"),"N.º de unidades vendidas x % medio de utilización",
AND(B24="T. monedero I",C24="Propio"),"N.º de cargas de crédito aplicadas",
AND(B24="T. monedero I",C24="Integrado"),"N.º de cargas de crédito aplicadas x % medio de utilización",
AND(B24="T. monedero II",C24="Propio"),"N.º de validaciones",
AND(B24="T. monedero II",C24="Integrado"),"N.º de validaciones"
))</f>
        <v/>
      </c>
      <c r="L24" s="26"/>
      <c r="M24" s="29"/>
      <c r="N24" s="17"/>
      <c r="O24" s="37" t="str">
        <f>IFERROR((tblINFANTIL[[#This Row],[Estimación demanda 2025]]-tblINFANTIL[[#This Row],[Estimación demanda 2024]])/tblINFANTIL[[#This Row],[Estimación demanda 2024]],"")</f>
        <v/>
      </c>
      <c r="P24" s="38" t="str">
        <f>IFERROR(tblINFANTIL[[#This Row],[Estimación demanda 2025]]*(1+tblINFANTIL[[#This Row],[Variación interanual 2024-2025]]),"")</f>
        <v/>
      </c>
      <c r="Q24" s="28"/>
      <c r="R24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24" s="22"/>
      <c r="T24" s="37" t="str">
        <f>IFERROR(IF(OR(C24="Propio",AND(C24="Integrado",OR(B24="T. monedero I",B24="T. monedero II",B24="Tít. multiviaje"))),tblINFANTIL[[#This Row],[Estimación demanda 2026]],tblINFANTIL[[#This Row],[Estimación demanda 2026]]*tblINFANTIL[[#This Row],[% medio utilización]]),"")</f>
        <v/>
      </c>
      <c r="U24" s="40">
        <f>tblINFANTIL[[#This Row],[Precio habitual sin descuento 
IVA INCLUIDO]]-tblINFANTIL[[#This Row],[Precio unitario con descuento 2026
IVA INCLUIDO]]</f>
        <v>0</v>
      </c>
      <c r="V24" s="40" t="str">
        <f>IFERROR(tblINFANTIL[[#This Row],[Unidades de demanda]]*tblINFANTIL[[#This Row],[Pérdida unitaria de ingresos]],"")</f>
        <v/>
      </c>
      <c r="W24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25" spans="1:23" x14ac:dyDescent="0.35">
      <c r="A25" s="15"/>
      <c r="B25" s="19"/>
      <c r="C25" s="19"/>
      <c r="D25" s="18"/>
      <c r="E25" s="62"/>
      <c r="F25" s="62"/>
      <c r="G25" s="61">
        <f t="shared" si="0"/>
        <v>1</v>
      </c>
      <c r="H25" s="57"/>
      <c r="I25" s="58"/>
      <c r="J25" s="54"/>
      <c r="K25" s="37" t="str" cm="1">
        <f t="array" ref="K25">IF(OR(B25="",C25=""),"",_xlfn.IFS(
AND(B25="Abono",C25="Propio"),"N.º de unidades vendidas",
AND(B25="Abono",C25="Integrado"),"N.º de unidades vendidas x % medio de utilización",
AND(B25="Tít. multiviaje",C25="Propio"),"N.º de unidades vendidas",
AND(B25="Tít. multiviaje",C25="Integrado"),"N.º de unidades vendidas x % medio de utilización",
AND(B25="T. monedero I",C25="Propio"),"N.º de cargas de crédito aplicadas",
AND(B25="T. monedero I",C25="Integrado"),"N.º de cargas de crédito aplicadas x % medio de utilización",
AND(B25="T. monedero II",C25="Propio"),"N.º de validaciones",
AND(B25="T. monedero II",C25="Integrado"),"N.º de validaciones"
))</f>
        <v/>
      </c>
      <c r="L25" s="26"/>
      <c r="M25" s="29"/>
      <c r="N25" s="17"/>
      <c r="O25" s="37" t="str">
        <f>IFERROR((tblINFANTIL[[#This Row],[Estimación demanda 2025]]-tblINFANTIL[[#This Row],[Estimación demanda 2024]])/tblINFANTIL[[#This Row],[Estimación demanda 2024]],"")</f>
        <v/>
      </c>
      <c r="P25" s="38" t="str">
        <f>IFERROR(tblINFANTIL[[#This Row],[Estimación demanda 2025]]*(1+tblINFANTIL[[#This Row],[Variación interanual 2024-2025]]),"")</f>
        <v/>
      </c>
      <c r="Q25" s="28"/>
      <c r="R25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25" s="22"/>
      <c r="T25" s="37" t="str">
        <f>IFERROR(IF(OR(C25="Propio",AND(C25="Integrado",OR(B25="T. monedero I",B25="T. monedero II",B25="Tít. multiviaje"))),tblINFANTIL[[#This Row],[Estimación demanda 2026]],tblINFANTIL[[#This Row],[Estimación demanda 2026]]*tblINFANTIL[[#This Row],[% medio utilización]]),"")</f>
        <v/>
      </c>
      <c r="U25" s="40">
        <f>tblINFANTIL[[#This Row],[Precio habitual sin descuento 
IVA INCLUIDO]]-tblINFANTIL[[#This Row],[Precio unitario con descuento 2026
IVA INCLUIDO]]</f>
        <v>0</v>
      </c>
      <c r="V25" s="40" t="str">
        <f>IFERROR(tblINFANTIL[[#This Row],[Unidades de demanda]]*tblINFANTIL[[#This Row],[Pérdida unitaria de ingresos]],"")</f>
        <v/>
      </c>
      <c r="W25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26" spans="1:23" x14ac:dyDescent="0.35">
      <c r="A26" s="15"/>
      <c r="B26" s="19"/>
      <c r="C26" s="19"/>
      <c r="D26" s="18"/>
      <c r="E26" s="62"/>
      <c r="F26" s="62"/>
      <c r="G26" s="61">
        <f t="shared" si="0"/>
        <v>1</v>
      </c>
      <c r="H26" s="57"/>
      <c r="I26" s="58"/>
      <c r="J26" s="54"/>
      <c r="K26" s="37" t="str" cm="1">
        <f t="array" ref="K26">IF(OR(B26="",C26=""),"",_xlfn.IFS(
AND(B26="Abono",C26="Propio"),"N.º de unidades vendidas",
AND(B26="Abono",C26="Integrado"),"N.º de unidades vendidas x % medio de utilización",
AND(B26="Tít. multiviaje",C26="Propio"),"N.º de unidades vendidas",
AND(B26="Tít. multiviaje",C26="Integrado"),"N.º de unidades vendidas x % medio de utilización",
AND(B26="T. monedero I",C26="Propio"),"N.º de cargas de crédito aplicadas",
AND(B26="T. monedero I",C26="Integrado"),"N.º de cargas de crédito aplicadas x % medio de utilización",
AND(B26="T. monedero II",C26="Propio"),"N.º de validaciones",
AND(B26="T. monedero II",C26="Integrado"),"N.º de validaciones"
))</f>
        <v/>
      </c>
      <c r="L26" s="26"/>
      <c r="M26" s="29"/>
      <c r="N26" s="17"/>
      <c r="O26" s="37" t="str">
        <f>IFERROR((tblINFANTIL[[#This Row],[Estimación demanda 2025]]-tblINFANTIL[[#This Row],[Estimación demanda 2024]])/tblINFANTIL[[#This Row],[Estimación demanda 2024]],"")</f>
        <v/>
      </c>
      <c r="P26" s="38" t="str">
        <f>IFERROR(tblINFANTIL[[#This Row],[Estimación demanda 2025]]*(1+tblINFANTIL[[#This Row],[Variación interanual 2024-2025]]),"")</f>
        <v/>
      </c>
      <c r="Q26" s="28"/>
      <c r="R26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26" s="22"/>
      <c r="T26" s="37" t="str">
        <f>IFERROR(IF(OR(C26="Propio",AND(C26="Integrado",OR(B26="T. monedero I",B26="T. monedero II",B26="Tít. multiviaje"))),tblINFANTIL[[#This Row],[Estimación demanda 2026]],tblINFANTIL[[#This Row],[Estimación demanda 2026]]*tblINFANTIL[[#This Row],[% medio utilización]]),"")</f>
        <v/>
      </c>
      <c r="U26" s="40">
        <f>tblINFANTIL[[#This Row],[Precio habitual sin descuento 
IVA INCLUIDO]]-tblINFANTIL[[#This Row],[Precio unitario con descuento 2026
IVA INCLUIDO]]</f>
        <v>0</v>
      </c>
      <c r="V26" s="40" t="str">
        <f>IFERROR(tblINFANTIL[[#This Row],[Unidades de demanda]]*tblINFANTIL[[#This Row],[Pérdida unitaria de ingresos]],"")</f>
        <v/>
      </c>
      <c r="W26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27" spans="1:23" x14ac:dyDescent="0.35">
      <c r="A27" s="15"/>
      <c r="B27" s="19"/>
      <c r="C27" s="19"/>
      <c r="D27" s="18"/>
      <c r="E27" s="62"/>
      <c r="F27" s="62"/>
      <c r="G27" s="61">
        <f t="shared" si="0"/>
        <v>1</v>
      </c>
      <c r="H27" s="57"/>
      <c r="I27" s="58"/>
      <c r="J27" s="54"/>
      <c r="K27" s="37" t="str" cm="1">
        <f t="array" ref="K27">IF(OR(B27="",C27=""),"",_xlfn.IFS(
AND(B27="Abono",C27="Propio"),"N.º de unidades vendidas",
AND(B27="Abono",C27="Integrado"),"N.º de unidades vendidas x % medio de utilización",
AND(B27="Tít. multiviaje",C27="Propio"),"N.º de unidades vendidas",
AND(B27="Tít. multiviaje",C27="Integrado"),"N.º de unidades vendidas x % medio de utilización",
AND(B27="T. monedero I",C27="Propio"),"N.º de cargas de crédito aplicadas",
AND(B27="T. monedero I",C27="Integrado"),"N.º de cargas de crédito aplicadas x % medio de utilización",
AND(B27="T. monedero II",C27="Propio"),"N.º de validaciones",
AND(B27="T. monedero II",C27="Integrado"),"N.º de validaciones"
))</f>
        <v/>
      </c>
      <c r="L27" s="26"/>
      <c r="M27" s="29"/>
      <c r="N27" s="17"/>
      <c r="O27" s="37" t="str">
        <f>IFERROR((tblINFANTIL[[#This Row],[Estimación demanda 2025]]-tblINFANTIL[[#This Row],[Estimación demanda 2024]])/tblINFANTIL[[#This Row],[Estimación demanda 2024]],"")</f>
        <v/>
      </c>
      <c r="P27" s="38" t="str">
        <f>IFERROR(tblINFANTIL[[#This Row],[Estimación demanda 2025]]*(1+tblINFANTIL[[#This Row],[Variación interanual 2024-2025]]),"")</f>
        <v/>
      </c>
      <c r="Q27" s="28"/>
      <c r="R27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27" s="22"/>
      <c r="T27" s="37" t="str">
        <f>IFERROR(IF(OR(C27="Propio",AND(C27="Integrado",OR(B27="T. monedero I",B27="T. monedero II",B27="Tít. multiviaje"))),tblINFANTIL[[#This Row],[Estimación demanda 2026]],tblINFANTIL[[#This Row],[Estimación demanda 2026]]*tblINFANTIL[[#This Row],[% medio utilización]]),"")</f>
        <v/>
      </c>
      <c r="U27" s="40">
        <f>tblINFANTIL[[#This Row],[Precio habitual sin descuento 
IVA INCLUIDO]]-tblINFANTIL[[#This Row],[Precio unitario con descuento 2026
IVA INCLUIDO]]</f>
        <v>0</v>
      </c>
      <c r="V27" s="40" t="str">
        <f>IFERROR(tblINFANTIL[[#This Row],[Unidades de demanda]]*tblINFANTIL[[#This Row],[Pérdida unitaria de ingresos]],"")</f>
        <v/>
      </c>
      <c r="W27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28" spans="1:23" x14ac:dyDescent="0.35">
      <c r="A28" s="15"/>
      <c r="B28" s="19"/>
      <c r="C28" s="19"/>
      <c r="D28" s="18"/>
      <c r="E28" s="62"/>
      <c r="F28" s="62"/>
      <c r="G28" s="61">
        <f t="shared" si="0"/>
        <v>1</v>
      </c>
      <c r="H28" s="57"/>
      <c r="I28" s="58"/>
      <c r="J28" s="54"/>
      <c r="K28" s="37" t="str" cm="1">
        <f t="array" ref="K28">IF(OR(B28="",C28=""),"",_xlfn.IFS(
AND(B28="Abono",C28="Propio"),"N.º de unidades vendidas",
AND(B28="Abono",C28="Integrado"),"N.º de unidades vendidas x % medio de utilización",
AND(B28="Tít. multiviaje",C28="Propio"),"N.º de unidades vendidas",
AND(B28="Tít. multiviaje",C28="Integrado"),"N.º de unidades vendidas x % medio de utilización",
AND(B28="T. monedero I",C28="Propio"),"N.º de cargas de crédito aplicadas",
AND(B28="T. monedero I",C28="Integrado"),"N.º de cargas de crédito aplicadas x % medio de utilización",
AND(B28="T. monedero II",C28="Propio"),"N.º de validaciones",
AND(B28="T. monedero II",C28="Integrado"),"N.º de validaciones"
))</f>
        <v/>
      </c>
      <c r="L28" s="26"/>
      <c r="M28" s="29"/>
      <c r="N28" s="17"/>
      <c r="O28" s="37" t="str">
        <f>IFERROR((tblINFANTIL[[#This Row],[Estimación demanda 2025]]-tblINFANTIL[[#This Row],[Estimación demanda 2024]])/tblINFANTIL[[#This Row],[Estimación demanda 2024]],"")</f>
        <v/>
      </c>
      <c r="P28" s="38" t="str">
        <f>IFERROR(tblINFANTIL[[#This Row],[Estimación demanda 2025]]*(1+tblINFANTIL[[#This Row],[Variación interanual 2024-2025]]),"")</f>
        <v/>
      </c>
      <c r="Q28" s="28"/>
      <c r="R28" s="3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28" s="22"/>
      <c r="T28" s="37" t="str">
        <f>IFERROR(IF(OR(C28="Propio",AND(C28="Integrado",OR(B28="T. monedero I",B28="T. monedero II",B28="Tít. multiviaje"))),tblINFANTIL[[#This Row],[Estimación demanda 2026]],tblINFANTIL[[#This Row],[Estimación demanda 2026]]*tblINFANTIL[[#This Row],[% medio utilización]]),"")</f>
        <v/>
      </c>
      <c r="U28" s="40">
        <f>tblINFANTIL[[#This Row],[Precio habitual sin descuento 
IVA INCLUIDO]]-tblINFANTIL[[#This Row],[Precio unitario con descuento 2026
IVA INCLUIDO]]</f>
        <v>0</v>
      </c>
      <c r="V28" s="40" t="str">
        <f>IFERROR(tblINFANTIL[[#This Row],[Unidades de demanda]]*tblINFANTIL[[#This Row],[Pérdida unitaria de ingresos]],"")</f>
        <v/>
      </c>
      <c r="W28" s="40" t="str">
        <f>IFERROR(tblINFANTIL[[#This Row],[Unidades de demanda]]*tblINFANTIL[[#This Row],[Precio habitual sin descuento 
IVA INCLUIDO]]*tblINFANTIL[[#This Row],[Porcentaje de descuento que se financia por parte del Ministerio de Transportes y Movilidad Sostenible]],"")</f>
        <v/>
      </c>
    </row>
    <row r="29" spans="1:23" s="10" customFormat="1" ht="15" thickBot="1" x14ac:dyDescent="0.4">
      <c r="A29" s="49"/>
      <c r="B29" s="49"/>
      <c r="C29" s="49"/>
      <c r="D29" s="50" t="s">
        <v>2</v>
      </c>
      <c r="E29" s="50"/>
      <c r="F29" s="50"/>
      <c r="G29" s="63" t="s">
        <v>2</v>
      </c>
      <c r="H29" s="65"/>
      <c r="I29" s="66"/>
      <c r="J29" s="64" t="s">
        <v>2</v>
      </c>
      <c r="K29" s="49"/>
      <c r="L29" s="67"/>
      <c r="M29" s="69"/>
      <c r="N29" s="70"/>
      <c r="O29" s="70" t="str">
        <f>IFERROR((tblINFANTIL[[#This Row],[Estimación demanda 2025]]-tblINFANTIL[[#This Row],[Estimación demanda 2024]])/tblINFANTIL[[#This Row],[Estimación demanda 2024]],"")</f>
        <v/>
      </c>
      <c r="P29" s="71" t="str">
        <f>IFERROR(tblINFANTIL[[#This Row],[Estimación demanda 2025]]*(1+tblINFANTIL[[#This Row],[Variación interanual 2024-2025]]),"")</f>
        <v/>
      </c>
      <c r="Q29" s="68"/>
      <c r="R29" s="49" t="str">
        <f>IF(tblINFANTIL[[#This Row],[Aplicación método Anexo I]]=Hoja1!$C$2,tblINFANTIL[[#This Row],[Estimación demanda 2026 - Mét. Anexo I]],IF(tblINFANTIL[[#This Row],[Aplicación método Anexo I]]=Hoja1!$C$3,tblINFANTIL[[#This Row],[Estimación demanda 2026 - Mét. Propio]],""))</f>
        <v/>
      </c>
      <c r="S29" s="49"/>
      <c r="T29" s="49" t="str">
        <f>IFERROR(IF(OR(C29="Propio",AND(C29="Integrado",OR(B29="T. monedero I",B29="T. monedero II",B29="Tít. multiviaje"))),tblINFANTIL[[#This Row],[Estimación demanda 2026]],tblINFANTIL[[#This Row],[Estimación demanda 2026]]*tblINFANTIL[[#This Row],[% medio utilización]]),"")</f>
        <v/>
      </c>
      <c r="U29" s="50" t="s">
        <v>2</v>
      </c>
      <c r="V29" s="51">
        <f>SUM(V3:V28)</f>
        <v>0</v>
      </c>
      <c r="W29" s="13">
        <f>SUM(W3:W28)</f>
        <v>0</v>
      </c>
    </row>
    <row r="30" spans="1:23" ht="15" thickTop="1" x14ac:dyDescent="0.35"/>
    <row r="32" spans="1:23" x14ac:dyDescent="0.35">
      <c r="A32" s="24" t="s">
        <v>36</v>
      </c>
      <c r="D32" s="8"/>
      <c r="E32" s="8"/>
      <c r="F32" s="8"/>
      <c r="G32" s="8"/>
      <c r="H32" s="8"/>
      <c r="I32" s="8"/>
      <c r="T32" s="8"/>
    </row>
    <row r="33" spans="1:20" x14ac:dyDescent="0.35">
      <c r="A33" s="8" t="s">
        <v>33</v>
      </c>
      <c r="D33" s="8"/>
      <c r="E33" s="8"/>
      <c r="F33" s="8"/>
      <c r="G33" s="8"/>
      <c r="H33" s="8"/>
      <c r="I33" s="8"/>
      <c r="T33" s="8"/>
    </row>
    <row r="34" spans="1:20" x14ac:dyDescent="0.35">
      <c r="A34" s="8" t="s">
        <v>34</v>
      </c>
      <c r="D34" s="8"/>
      <c r="E34" s="8"/>
      <c r="F34" s="8"/>
      <c r="G34" s="8"/>
      <c r="H34" s="8"/>
      <c r="I34" s="8"/>
      <c r="J34"/>
      <c r="K34" s="11"/>
      <c r="L34" s="11"/>
      <c r="M34" s="11"/>
      <c r="N34" s="11"/>
      <c r="O34" s="11"/>
      <c r="P34" s="11"/>
      <c r="S34" s="11"/>
      <c r="T34" s="8"/>
    </row>
    <row r="35" spans="1:20" x14ac:dyDescent="0.35">
      <c r="D35" s="8"/>
      <c r="E35" s="8"/>
      <c r="F35" s="8"/>
      <c r="G35" s="8"/>
      <c r="H35" s="8"/>
      <c r="I35" s="8"/>
      <c r="J35"/>
      <c r="K35" s="11"/>
      <c r="L35" s="11"/>
      <c r="M35" s="11"/>
      <c r="N35" s="11"/>
      <c r="O35" s="11"/>
      <c r="P35" s="11"/>
      <c r="S35" s="11"/>
      <c r="T35" s="8"/>
    </row>
    <row r="36" spans="1:20" x14ac:dyDescent="0.35">
      <c r="D36" s="8"/>
      <c r="E36" s="8"/>
      <c r="F36" s="8"/>
      <c r="G36" s="8"/>
      <c r="H36" s="8"/>
      <c r="I36" s="8"/>
      <c r="J36"/>
      <c r="K36" s="11"/>
      <c r="L36" s="11"/>
      <c r="M36" s="11"/>
      <c r="N36" s="11"/>
      <c r="O36" s="11"/>
      <c r="P36" s="11"/>
      <c r="S36" s="11"/>
      <c r="T36" s="8"/>
    </row>
    <row r="37" spans="1:20" x14ac:dyDescent="0.35">
      <c r="D37" s="8"/>
      <c r="E37" s="8"/>
      <c r="F37" s="8"/>
      <c r="G37" s="8"/>
      <c r="H37" s="8"/>
      <c r="I37" s="8"/>
      <c r="J37"/>
      <c r="K37" s="11"/>
      <c r="L37" s="11"/>
      <c r="M37" s="11"/>
      <c r="N37" s="11"/>
      <c r="O37" s="11"/>
      <c r="P37" s="11"/>
      <c r="S37" s="11"/>
      <c r="T37" s="8"/>
    </row>
    <row r="38" spans="1:20" x14ac:dyDescent="0.35">
      <c r="D38" s="8"/>
      <c r="E38" s="8"/>
      <c r="F38" s="8"/>
      <c r="G38" s="8"/>
      <c r="H38" s="8"/>
      <c r="I38" s="8"/>
      <c r="J38"/>
      <c r="K38" s="11"/>
      <c r="L38" s="11"/>
      <c r="M38" s="11"/>
      <c r="N38" s="11"/>
      <c r="O38" s="11"/>
      <c r="P38" s="11"/>
      <c r="S38" s="11"/>
      <c r="T38" s="8"/>
    </row>
    <row r="39" spans="1:20" x14ac:dyDescent="0.35">
      <c r="D39" s="8"/>
      <c r="E39" s="8"/>
      <c r="F39" s="8"/>
      <c r="G39" s="8"/>
      <c r="H39" s="8"/>
      <c r="I39" s="8"/>
      <c r="J39"/>
      <c r="K39" s="11"/>
      <c r="L39" s="11"/>
      <c r="M39" s="11"/>
      <c r="N39" s="11"/>
      <c r="O39" s="11"/>
      <c r="P39" s="11"/>
      <c r="S39" s="11"/>
      <c r="T39" s="8"/>
    </row>
    <row r="40" spans="1:20" x14ac:dyDescent="0.35">
      <c r="D40" s="8"/>
      <c r="E40" s="8"/>
      <c r="F40" s="8"/>
      <c r="G40" s="8"/>
      <c r="H40" s="8"/>
      <c r="I40" s="8"/>
      <c r="J40"/>
      <c r="K40" s="11"/>
      <c r="L40" s="11"/>
      <c r="M40" s="11"/>
      <c r="N40" s="11"/>
      <c r="O40" s="11"/>
      <c r="P40" s="11"/>
      <c r="S40" s="11"/>
      <c r="T40" s="8"/>
    </row>
    <row r="41" spans="1:20" x14ac:dyDescent="0.35">
      <c r="D41" s="8"/>
      <c r="E41" s="8"/>
      <c r="F41" s="8"/>
      <c r="G41" s="8"/>
      <c r="H41" s="8"/>
      <c r="I41" s="8"/>
      <c r="J41"/>
      <c r="K41" s="11"/>
      <c r="L41" s="11"/>
      <c r="M41" s="11"/>
      <c r="N41" s="11"/>
      <c r="O41" s="11"/>
      <c r="P41" s="11"/>
      <c r="S41" s="11"/>
      <c r="T41" s="8"/>
    </row>
    <row r="42" spans="1:20" x14ac:dyDescent="0.35">
      <c r="D42" s="8"/>
      <c r="E42" s="8"/>
      <c r="F42" s="8"/>
      <c r="G42" s="8"/>
      <c r="H42" s="8"/>
      <c r="I42" s="8"/>
      <c r="J42"/>
      <c r="K42" s="11"/>
      <c r="L42" s="11"/>
      <c r="M42" s="11"/>
      <c r="N42" s="11"/>
      <c r="O42" s="11"/>
      <c r="P42" s="11"/>
      <c r="S42" s="11"/>
      <c r="T42" s="8"/>
    </row>
    <row r="43" spans="1:20" x14ac:dyDescent="0.35">
      <c r="D43" s="8"/>
      <c r="E43" s="8"/>
      <c r="F43" s="8"/>
      <c r="G43" s="8"/>
      <c r="H43" s="8"/>
      <c r="I43" s="8"/>
      <c r="J43"/>
      <c r="K43" s="11"/>
      <c r="L43" s="11"/>
      <c r="M43" s="11"/>
      <c r="N43" s="11"/>
      <c r="O43" s="11"/>
      <c r="P43" s="11"/>
      <c r="S43" s="11"/>
      <c r="T43" s="8"/>
    </row>
    <row r="44" spans="1:20" x14ac:dyDescent="0.35">
      <c r="D44" s="8"/>
      <c r="E44" s="8"/>
      <c r="F44" s="8"/>
      <c r="G44" s="8"/>
      <c r="H44" s="8"/>
      <c r="I44" s="8"/>
      <c r="J44"/>
      <c r="K44" s="11"/>
      <c r="L44" s="11"/>
      <c r="M44" s="11"/>
      <c r="N44" s="11"/>
      <c r="O44" s="11"/>
      <c r="P44" s="11"/>
      <c r="S44" s="11"/>
      <c r="T44" s="8"/>
    </row>
    <row r="45" spans="1:20" x14ac:dyDescent="0.35">
      <c r="D45" s="8"/>
      <c r="E45" s="8"/>
      <c r="F45" s="8"/>
      <c r="G45" s="8"/>
      <c r="H45" s="8"/>
      <c r="I45" s="8"/>
      <c r="J45"/>
      <c r="K45" s="11"/>
      <c r="L45" s="11"/>
      <c r="M45" s="11"/>
      <c r="N45" s="11"/>
      <c r="O45" s="11"/>
      <c r="P45" s="11"/>
      <c r="S45" s="11"/>
      <c r="T45" s="8"/>
    </row>
    <row r="46" spans="1:20" x14ac:dyDescent="0.35">
      <c r="D46" s="8"/>
      <c r="E46" s="8"/>
      <c r="F46" s="8"/>
      <c r="G46" s="8"/>
      <c r="H46" s="8"/>
      <c r="I46" s="8"/>
      <c r="J46"/>
      <c r="K46" s="11"/>
      <c r="L46" s="11"/>
      <c r="M46" s="11"/>
      <c r="N46" s="11"/>
      <c r="O46" s="11"/>
      <c r="P46" s="11"/>
      <c r="S46" s="11"/>
      <c r="T46" s="8"/>
    </row>
  </sheetData>
  <sheetProtection selectLockedCells="1"/>
  <mergeCells count="2">
    <mergeCell ref="M1:P1"/>
    <mergeCell ref="H1:I1"/>
  </mergeCells>
  <phoneticPr fontId="3" type="noConversion"/>
  <conditionalFormatting sqref="L3:L28">
    <cfRule type="expression" dxfId="3" priority="1">
      <formula>AND(H3-I3&gt;0.15*H3,L3="Sí")</formula>
    </cfRule>
  </conditionalFormatting>
  <conditionalFormatting sqref="M3:P28">
    <cfRule type="expression" dxfId="2" priority="2">
      <formula>$L3="NO"</formula>
    </cfRule>
  </conditionalFormatting>
  <conditionalFormatting sqref="Q3:Q28">
    <cfRule type="expression" dxfId="1" priority="3">
      <formula>$L3="SÍ"</formula>
    </cfRule>
  </conditionalFormatting>
  <conditionalFormatting sqref="S3:S28">
    <cfRule type="expression" dxfId="0" priority="4">
      <formula>OR(C3="Propio",AND(C3="Integrado",OR(B3="T. monedero I",B3="T. monedero II",B3="Tít. multiviaje")))</formula>
    </cfRule>
  </conditionalFormatting>
  <dataValidations count="2">
    <dataValidation type="decimal" operator="greaterThanOrEqual" allowBlank="1" showInputMessage="1" showErrorMessage="1" sqref="D3:F28 J3:K28 U3:U28" xr:uid="{F46281AA-AFD1-4011-895B-3AFB4DC3B7C2}">
      <formula1>0</formula1>
    </dataValidation>
    <dataValidation operator="greaterThanOrEqual" allowBlank="1" showInputMessage="1" showErrorMessage="1" sqref="V3:V28 S3:T28 G3:I28" xr:uid="{12EE8462-8602-4362-BD53-0155E81B8C41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8669CC6-057D-4943-B8E3-ECC52FAFBFA6}">
          <x14:formula1>
            <xm:f>Hoja1!$A$2:$A$5</xm:f>
          </x14:formula1>
          <xm:sqref>B3:B28</xm:sqref>
        </x14:dataValidation>
        <x14:dataValidation type="list" allowBlank="1" showInputMessage="1" showErrorMessage="1" xr:uid="{5F5C2790-6959-4A7F-A41F-45A7B5452836}">
          <x14:formula1>
            <xm:f>Hoja1!$B$2:$B$3</xm:f>
          </x14:formula1>
          <xm:sqref>C3:C28</xm:sqref>
        </x14:dataValidation>
        <x14:dataValidation type="list" operator="greaterThanOrEqual" allowBlank="1" showInputMessage="1" showErrorMessage="1" xr:uid="{ACCEF50D-500E-41AB-8B4E-D6E53E9CD5EE}">
          <x14:formula1>
            <xm:f>Hoja1!$C$2:$C$3</xm:f>
          </x14:formula1>
          <xm:sqref>L3:L28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E307-877E-4539-8304-6AB24914D696}">
  <sheetPr codeName="Hoja5"/>
  <dimension ref="A1:F8"/>
  <sheetViews>
    <sheetView workbookViewId="0">
      <selection activeCell="D7" sqref="D7"/>
    </sheetView>
  </sheetViews>
  <sheetFormatPr baseColWidth="10" defaultRowHeight="14.5" x14ac:dyDescent="0.35"/>
  <cols>
    <col min="1" max="1" width="8.453125" bestFit="1" customWidth="1"/>
    <col min="2" max="2" width="13.453125" bestFit="1" customWidth="1"/>
    <col min="3" max="3" width="15.1796875" style="72" bestFit="1" customWidth="1"/>
    <col min="4" max="4" width="35.7265625" style="72" customWidth="1"/>
    <col min="5" max="5" width="11.7265625" customWidth="1"/>
  </cols>
  <sheetData>
    <row r="1" spans="1:6" x14ac:dyDescent="0.35">
      <c r="A1" t="s">
        <v>8</v>
      </c>
      <c r="B1" t="s">
        <v>40</v>
      </c>
      <c r="C1" t="s">
        <v>9</v>
      </c>
      <c r="D1" s="72" t="s">
        <v>39</v>
      </c>
    </row>
    <row r="2" spans="1:6" x14ac:dyDescent="0.35">
      <c r="C2"/>
      <c r="F2" t="s">
        <v>47</v>
      </c>
    </row>
    <row r="8" spans="1:6" x14ac:dyDescent="0.35">
      <c r="F8" t="s">
        <v>48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ECFA-A563-4B25-BBE6-DCA66AF1186A}">
  <sheetPr codeName="Hoja6"/>
  <dimension ref="A1:C5"/>
  <sheetViews>
    <sheetView workbookViewId="0">
      <selection activeCell="D12" sqref="D12"/>
    </sheetView>
  </sheetViews>
  <sheetFormatPr baseColWidth="10" defaultRowHeight="14.5" x14ac:dyDescent="0.35"/>
  <cols>
    <col min="1" max="1" width="13.81640625" bestFit="1" customWidth="1"/>
  </cols>
  <sheetData>
    <row r="1" spans="1:3" ht="43.5" x14ac:dyDescent="0.35">
      <c r="A1" s="16" t="s">
        <v>9</v>
      </c>
      <c r="B1" s="16" t="s">
        <v>10</v>
      </c>
      <c r="C1" s="16" t="s">
        <v>21</v>
      </c>
    </row>
    <row r="2" spans="1:3" x14ac:dyDescent="0.35">
      <c r="A2" s="17" t="s">
        <v>14</v>
      </c>
      <c r="B2" s="17" t="s">
        <v>18</v>
      </c>
      <c r="C2" s="17" t="s">
        <v>22</v>
      </c>
    </row>
    <row r="3" spans="1:3" x14ac:dyDescent="0.35">
      <c r="A3" s="17" t="s">
        <v>15</v>
      </c>
      <c r="B3" s="17" t="s">
        <v>19</v>
      </c>
      <c r="C3" s="17" t="s">
        <v>23</v>
      </c>
    </row>
    <row r="4" spans="1:3" x14ac:dyDescent="0.35">
      <c r="A4" s="17" t="s">
        <v>16</v>
      </c>
      <c r="B4" s="17"/>
    </row>
    <row r="5" spans="1:3" x14ac:dyDescent="0.35">
      <c r="A5" s="17" t="s">
        <v>17</v>
      </c>
      <c r="B5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EA5E598AAAB4AA969A52DA0AF7222" ma:contentTypeVersion="16" ma:contentTypeDescription="Crear nuevo documento." ma:contentTypeScope="" ma:versionID="ad7dc0c4872c75b34c14253d8bfb6811">
  <xsd:schema xmlns:xsd="http://www.w3.org/2001/XMLSchema" xmlns:xs="http://www.w3.org/2001/XMLSchema" xmlns:p="http://schemas.microsoft.com/office/2006/metadata/properties" xmlns:ns2="33aaa96e-b011-47c7-baef-5e516be5569e" xmlns:ns3="21c2aa6a-57ff-4e0f-8d47-d14b8798022c" targetNamespace="http://schemas.microsoft.com/office/2006/metadata/properties" ma:root="true" ma:fieldsID="23cf03a75e15e94b6050caeda4cd7acd" ns2:_="" ns3:_="">
    <xsd:import namespace="33aaa96e-b011-47c7-baef-5e516be5569e"/>
    <xsd:import namespace="21c2aa6a-57ff-4e0f-8d47-d14b8798022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aa96e-b011-47c7-baef-5e516be556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0b46c3e-5604-4efe-ba8f-d8e1fa096263}" ma:internalName="TaxCatchAll" ma:showField="CatchAllData" ma:web="33aaa96e-b011-47c7-baef-5e516be556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2aa6a-57ff-4e0f-8d47-d14b87980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0ed6521e-12c7-4641-a58b-d6f58964e6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3 3 c 2 0 e 3 9 - 9 e 4 5 - 4 5 0 1 - a b 4 7 - 5 0 8 6 3 7 1 0 7 c 9 7 "   x m l n s = " h t t p : / / s c h e m a s . m i c r o s o f t . c o m / D a t a M a s h u p " > A A A A A I 0 F A A B Q S w M E F A A C A A g A 9 n r 1 X B O p H O 6 l A A A A 9 g A A A B I A H A B D b 2 5 m a W c v U G F j a 2 F n Z S 5 4 b W w g o h g A K K A U A A A A A A A A A A A A A A A A A A A A A A A A A A A A h Y 8 x D o I w G I W v Q r r T l h q M k p 8 y G D d J T E i M a 1 M r N E I x t F j u 5 u C R v I I Y R d 0 c 3 / e + 4 b 3 7 9 Q b Z 0 N T B R X V W t y Z F E a Y o U E a 2 B 2 3 K F P X u G C 5 Q x m E r 5 E m U K h h l Y 5 P B H l J U O X d O C P H e Y z / D b V c S R m l E 9 v m m k J V q B P r I + r 8 c a m O d M F I h D r v X G M 5 w F M d 4 z p a Y A p k g 5 N p 8 B T b u f b Y / E F Z 9 7 f p O c W X D d Q F k i k D e H / g D U E s D B B Q A A g A I A P Z 6 9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2 e v V c d X 1 N 7 I Y C A A B 3 D A A A E w A c A E Z v c m 1 1 b G F z L 1 N l Y 3 R p b 2 4 x L m 0 g o h g A K K A U A A A A A A A A A A A A A A A A A A A A A A A A A A A A 7 V X d a t s w F L 4 v 5 B 0 O 7 k 0 C J m s L Y x d d B 0 7 i l g 7 X L o 6 3 X Y Q Q 5 F h J R W V p S H J / C H m g X f Q p + m K T 4 y Z O Z G d L G T Q M K j C 2 p a P z 8 3 2 f j i Q e K 8 I Z 9 I v 3 8 W n j o H E g b 5 D A C X Q 5 k x l V 6 A T O g G L V O A A 9 u k 4 0 6 j h 9 F 8 6 K / 3 x E K K a 4 3 c d U O + l y m q V M N s t V 0 y L k 9 + Z y P t y H M a b t b i Y E Z u o H F 7 c x 5 7 f N 1 m z g o x S f W S q m O v S F 6 7 u h 4 1 n D + U B n p 7 T l 0 K 6 6 w m h 8 A 4 N D K y I / O S Q Y 1 P O T y i i 3 h v D 5 C 7 C M U k A s 2 W p g W Z s e W 0 a E W T W g F b 0 4 q E m m E q T O 5 v r 5 l 0 h I g n I 7 w q Y C S y 5 h S n m M K G C p S I o S Z A N m M N Y f S 0 8 Q c 0 Y m R E 9 x G x B M C E N s T J C A F C c E a X S A I g n o M U v 0 K 8 E U w p 4 H x 5 8 + n B y d f D R q n J e / e b k r q q s s O 0 l S U G x Q u N S F U Z 3 V R Q p P u X h + Q m b h C 5 Y s v a 8 N S 1 r r s v g a f H f 9 f U l u E f x d b W + h t g X U u + u t l M V r F V d w W p f C p X / u + N G l t y + 1 L e O / C + 4 t B L d E e 3 f N b e j j t b J b k V u X y 4 U X d J y a T L o 8 j Q n D z Z l u k 3 a h e X u V x r z c H 7 p B 2 H N 9 p + d U f Y S Y i w S L e t 0 W g f 9 R A t t L L 7 b + r w o J X T + 4 6 o R b U G X 6 2 N a D W r L x d 2 B r p v Y E S A 0 t 2 z O R W X y H t W / O c j S s 6 t b 5 L i f w 6 j o I I 3 c U B d G m + D 0 i V b u f p Q a u i + l I I C Y n X J i L K 4 M Q p / w O + 7 o P 1 n X h f J S 8 D n Y o b l h 1 Y v b M f C x O u R K P 4 G d p j E X 7 X P C 0 O W o B V z d Y 3 B O J 4 c h o v H W Q n F 9 6 z i Y e h y p P o l n t D L n y 8 q t D N s t 6 1 h M z l D W z F m 4 t W 9 8 A x b M B / x p B L 5 / r 5 6 D / z Y u c X v C H B l X m Y K 8 V M W / l P g g z / J z + B l B L A Q I t A B Q A A g A I A P Z 6 9 V w T q R z u p Q A A A P Y A A A A S A A A A A A A A A A A A A A A A A A A A A A B D b 2 5 m a W c v U G F j a 2 F n Z S 5 4 b W x Q S w E C L Q A U A A I A C A D 2 e v V c D 8 r p q 6 Q A A A D p A A A A E w A A A A A A A A A A A A A A A A D x A A A A W 0 N v b n R l b n R f V H l w Z X N d L n h t b F B L A Q I t A B Q A A g A I A P Z 6 9 V x 1 f U 3 s h g I A A H c M A A A T A A A A A A A A A A A A A A A A A O I B A A B G b 3 J t d W x h c y 9 T Z W N 0 a W 9 u M S 5 t U E s F B g A A A A A D A A M A w g A A A L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c Q A A A A A A A A Z R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v b n N 1 b H R h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w O D F m Z D I 0 L T d k Y 2 M t N D Y 1 M y 0 5 O T l j L W J m N j N m M 2 Y y Z W F k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S Z W N v d m V y e V R h c m d l d F N o Z W V 0 I i B W Y W x 1 Z T 0 i c 0 d M T 0 J B T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D b 2 5 z d W x 0 Y T I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3 V s d G E y L 0 F 1 d G 9 S Z W 1 v d m V k Q 2 9 s d W 1 u c z E u e 1 T D r X R 1 b G 8 s M H 0 m c X V v d D s s J n F 1 b 3 Q 7 U 2 V j d G l v b j E v Q 2 9 u c 3 V s d G E y L 0 F 1 d G 9 S Z W 1 v d m V k Q 2 9 s d W 1 u c z E u e 0 N h d G V n b 3 L D r W E s M X 0 m c X V v d D s s J n F 1 b 3 Q 7 U 2 V j d G l v b j E v Q 2 9 u c 3 V s d G E y L 0 F 1 d G 9 S Z W 1 v d m V k Q 2 9 s d W 1 u c z E u e 1 R p c G 8 g Z G U g d M O t d H V s b y w y f S Z x d W 9 0 O y w m c X V v d D t T Z W N 0 a W 9 u M S 9 D b 2 5 z d W x 0 Y T I v Q X V 0 b 1 J l b W 9 2 Z W R D b 2 x 1 b W 5 z M S 5 7 U M O p c m R p Z G E g Z G U g a W 5 n c m V z b 3 M g c 3 V i d m V u Y 2 l v b m F i b G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2 9 u c 3 V s d G E y L 0 F 1 d G 9 S Z W 1 v d m V k Q 2 9 s d W 1 u c z E u e 1 T D r X R 1 b G 8 s M H 0 m c X V v d D s s J n F 1 b 3 Q 7 U 2 V j d G l v b j E v Q 2 9 u c 3 V s d G E y L 0 F 1 d G 9 S Z W 1 v d m V k Q 2 9 s d W 1 u c z E u e 0 N h d G V n b 3 L D r W E s M X 0 m c X V v d D s s J n F 1 b 3 Q 7 U 2 V j d G l v b j E v Q 2 9 u c 3 V s d G E y L 0 F 1 d G 9 S Z W 1 v d m V k Q 2 9 s d W 1 u c z E u e 1 R p c G 8 g Z G U g d M O t d H V s b y w y f S Z x d W 9 0 O y w m c X V v d D t T Z W N 0 a W 9 u M S 9 D b 2 5 z d W x 0 Y T I v Q X V 0 b 1 J l b W 9 2 Z W R D b 2 x 1 b W 5 z M S 5 7 U M O p c m R p Z G E g Z G U g a W 5 n c m V z b 3 M g c 3 V i d m V u Y 2 l v b m F i b G U s M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T D r X R 1 b G 8 m c X V v d D s s J n F 1 b 3 Q 7 Q 2 F 0 Z W d v c s O t Y S Z x d W 9 0 O y w m c X V v d D t U a X B v I G R l I H T D r X R 1 b G 8 m c X V v d D s s J n F 1 b 3 Q 7 U M O p c m R p Z G E g Z G U g a W 5 n c m V z b 3 M g c 3 V i d m V u Y 2 l v b m F i b G U m c X V v d D t d I i A v P j x F b n R y e S B U e X B l P S J G a W x s Q 2 9 s d W 1 u V H l w Z X M i I F Z h b H V l P S J z Q U F B Q U F B P T 0 i I C 8 + P E V u d H J 5 I F R 5 c G U 9 I k Z p b G x M Y X N 0 V X B k Y X R l Z C I g V m F s d W U 9 I m Q y M D I 2 L T A 3 L T I x V D E z O j I z O j Q 1 L j k 2 M j E 5 N j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u c 3 V s d G E y L 0 N B V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1 b H R h M i 9 K T 1 Z F T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1 b H R h M i 9 J T k Z B T l R J T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1 b H R h M i 9 H T E 9 C Q U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d W x 0 Y T I v U k V O T 0 1 C U k F E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1 b H R h M i 9 J T V B P U l R F X 1 R P V E F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y L 0 Z J T E F f V E 9 U Q U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d W x 0 Y T I v U k V T V U x U Q U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y L 0 N B V F 9 C Q V N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y L 0 p P V k V O X 0 J B U 0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d W x 0 Y T I v S U 5 G Q U 5 U S U x f Q k F T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1 b H R h M i 9 S R U 9 S R E V O Q U R B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N 3 2 e b h A d l A i Q 2 1 H D E 5 k a k A A A A A A g A A A A A A E G Y A A A A B A A A g A A A A Q M a Q L 3 F U s D B J K 0 x O D q t O n M w Y I m F f j W H B f H f H B o 8 7 K f c A A A A A D o A A A A A C A A A g A A A A l h d y K h S D v Q n W m 8 1 C J h b V F f R g c n K 4 R Q Z 3 S x 6 G G U h K U Q 5 Q A A A A v e h Y L 1 g i Q H 8 s Y t 3 t B H o Q n f Y K y 0 t / 1 7 a + 9 r u e t C G y / s R W h S k C n f 4 9 A s E w + U d S U Z w V O 2 Y L V C J g X Q U 9 q 3 6 + l d 9 D 4 q y X D p 6 K 9 D D j L 6 o m q o T / B J V A A A A A Q l r e 9 d R D 5 k 6 X x N u j r d 6 8 7 T M a J L Z C V 1 L P u P K I Z 0 q X v 4 Q T n c R M o z R g M 3 Y X I + Q v B I B A 7 f 1 k b 4 V d w T k G Z M w g q v d y 5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aaa96e-b011-47c7-baef-5e516be5569e" xsi:nil="true"/>
    <lcf76f155ced4ddcb4097134ff3c332f xmlns="21c2aa6a-57ff-4e0f-8d47-d14b8798022c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796A01-FADC-4003-BEDC-F4D6DF6B74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aaa96e-b011-47c7-baef-5e516be5569e"/>
    <ds:schemaRef ds:uri="21c2aa6a-57ff-4e0f-8d47-d14b879802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75B045-09CE-411D-802F-1A30DB6B5F4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BEC73F7-0DAA-4D11-BCFE-BD0388E214C1}">
  <ds:schemaRefs>
    <ds:schemaRef ds:uri="http://purl.org/dc/terms/"/>
    <ds:schemaRef ds:uri="33aaa96e-b011-47c7-baef-5e516be5569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1c2aa6a-57ff-4e0f-8d47-d14b8798022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95118F4-B73B-49C7-8568-9758D33CF8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Datos_Entidad</vt:lpstr>
      <vt:lpstr>CAT. GENERAL</vt:lpstr>
      <vt:lpstr>JOVEN</vt:lpstr>
      <vt:lpstr>INFANTIL</vt:lpstr>
      <vt:lpstr>GLOBAL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Jurado, Miguel</dc:creator>
  <cp:lastModifiedBy>Martín Velázquez Saúl</cp:lastModifiedBy>
  <dcterms:created xsi:type="dcterms:W3CDTF">2015-06-05T18:19:34Z</dcterms:created>
  <dcterms:modified xsi:type="dcterms:W3CDTF">2026-07-22T09:10:35Z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0x010100116EA5E598AAAB4AA969A52DA0AF7222</vt:lpwstr>
  </property>
  <property fmtid="{D5CDD505-2E9C-101B-9397-08002B2CF9AE}" pid="3" name="MediaServiceImageTags">
    <vt:lpwstr/>
  </property>
</Properties>
</file>